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0" windowWidth="10050" windowHeight="8235" activeTab="4"/>
  </bookViews>
  <sheets>
    <sheet name="Optimization" sheetId="7" r:id="rId1"/>
    <sheet name="ATL-DAL" sheetId="3" r:id="rId2"/>
    <sheet name="DAL-CHI" sheetId="4" r:id="rId3"/>
    <sheet name="CHI-ATL" sheetId="6" r:id="rId4"/>
    <sheet name="Total" sheetId="9" r:id="rId5"/>
  </sheets>
  <definedNames>
    <definedName name="solver_adj" localSheetId="1" hidden="1">'ATL-DAL'!$E$6</definedName>
    <definedName name="solver_adj" localSheetId="3" hidden="1">'CHI-ATL'!$E$6</definedName>
    <definedName name="solver_adj" localSheetId="2" hidden="1">'DAL-CHI'!$E$6</definedName>
    <definedName name="solver_adj" localSheetId="0" hidden="1">Optimization!$B$4:$D$4</definedName>
    <definedName name="solver_cvg" localSheetId="1" hidden="1">0.0001</definedName>
    <definedName name="solver_cvg" localSheetId="3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3" hidden="1">1</definedName>
    <definedName name="solver_drv" localSheetId="2" hidden="1">1</definedName>
    <definedName name="solver_drv" localSheetId="0" hidden="1">1</definedName>
    <definedName name="solver_est" localSheetId="1" hidden="1">1</definedName>
    <definedName name="solver_est" localSheetId="3" hidden="1">1</definedName>
    <definedName name="solver_est" localSheetId="2" hidden="1">1</definedName>
    <definedName name="solver_est" localSheetId="0" hidden="1">1</definedName>
    <definedName name="solver_itr" localSheetId="1" hidden="1">100</definedName>
    <definedName name="solver_itr" localSheetId="3" hidden="1">100</definedName>
    <definedName name="solver_itr" localSheetId="2" hidden="1">100</definedName>
    <definedName name="solver_itr" localSheetId="0" hidden="1">100</definedName>
    <definedName name="solver_lhs1" localSheetId="0" hidden="1">Optimization!$F$15</definedName>
    <definedName name="solver_lhs2" localSheetId="0" hidden="1">Optimization!$B$15:$D$15</definedName>
    <definedName name="solver_lhs3" localSheetId="0" hidden="1">Optimization!$B$15:$D$15</definedName>
    <definedName name="solver_lin" localSheetId="1" hidden="1">2</definedName>
    <definedName name="solver_lin" localSheetId="3" hidden="1">2</definedName>
    <definedName name="solver_lin" localSheetId="2" hidden="1">2</definedName>
    <definedName name="solver_lin" localSheetId="0" hidden="1">2</definedName>
    <definedName name="solver_neg" localSheetId="1" hidden="1">2</definedName>
    <definedName name="solver_neg" localSheetId="3" hidden="1">2</definedName>
    <definedName name="solver_neg" localSheetId="2" hidden="1">2</definedName>
    <definedName name="solver_neg" localSheetId="0" hidden="1">2</definedName>
    <definedName name="solver_num" localSheetId="1" hidden="1">0</definedName>
    <definedName name="solver_num" localSheetId="3" hidden="1">0</definedName>
    <definedName name="solver_num" localSheetId="2" hidden="1">0</definedName>
    <definedName name="solver_num" localSheetId="0" hidden="1">3</definedName>
    <definedName name="solver_nwt" localSheetId="1" hidden="1">1</definedName>
    <definedName name="solver_nwt" localSheetId="3" hidden="1">1</definedName>
    <definedName name="solver_nwt" localSheetId="2" hidden="1">1</definedName>
    <definedName name="solver_nwt" localSheetId="0" hidden="1">1</definedName>
    <definedName name="solver_opt" localSheetId="1" hidden="1">'ATL-DAL'!$E$23</definedName>
    <definedName name="solver_opt" localSheetId="3" hidden="1">'CHI-ATL'!$E$23</definedName>
    <definedName name="solver_opt" localSheetId="2" hidden="1">'DAL-CHI'!$E$23</definedName>
    <definedName name="solver_opt" localSheetId="0" hidden="1">Optimization!$E$21</definedName>
    <definedName name="solver_pre" localSheetId="1" hidden="1">0.000001</definedName>
    <definedName name="solver_pre" localSheetId="3" hidden="1">0.000001</definedName>
    <definedName name="solver_pre" localSheetId="2" hidden="1">0.000001</definedName>
    <definedName name="solver_pre" localSheetId="0" hidden="1">0.000001</definedName>
    <definedName name="solver_rel1" localSheetId="0" hidden="1">1</definedName>
    <definedName name="solver_rel2" localSheetId="0" hidden="1">4</definedName>
    <definedName name="solver_rel3" localSheetId="0" hidden="1">3</definedName>
    <definedName name="solver_rhs1" localSheetId="0" hidden="1">15</definedName>
    <definedName name="solver_rhs2" localSheetId="0" hidden="1">integer</definedName>
    <definedName name="solver_rhs3" localSheetId="0" hidden="1">0</definedName>
    <definedName name="solver_scl" localSheetId="1" hidden="1">2</definedName>
    <definedName name="solver_scl" localSheetId="3" hidden="1">2</definedName>
    <definedName name="solver_scl" localSheetId="2" hidden="1">2</definedName>
    <definedName name="solver_scl" localSheetId="0" hidden="1">2</definedName>
    <definedName name="solver_sho" localSheetId="1" hidden="1">2</definedName>
    <definedName name="solver_sho" localSheetId="3" hidden="1">2</definedName>
    <definedName name="solver_sho" localSheetId="2" hidden="1">2</definedName>
    <definedName name="solver_sho" localSheetId="0" hidden="1">2</definedName>
    <definedName name="solver_tim" localSheetId="1" hidden="1">100</definedName>
    <definedName name="solver_tim" localSheetId="3" hidden="1">100</definedName>
    <definedName name="solver_tim" localSheetId="2" hidden="1">100</definedName>
    <definedName name="solver_tim" localSheetId="0" hidden="1">100</definedName>
    <definedName name="solver_tol" localSheetId="1" hidden="1">0.05</definedName>
    <definedName name="solver_tol" localSheetId="3" hidden="1">0.05</definedName>
    <definedName name="solver_tol" localSheetId="2" hidden="1">0.05</definedName>
    <definedName name="solver_tol" localSheetId="0" hidden="1">0.05</definedName>
    <definedName name="solver_typ" localSheetId="1" hidden="1">1</definedName>
    <definedName name="solver_typ" localSheetId="3" hidden="1">1</definedName>
    <definedName name="solver_typ" localSheetId="2" hidden="1">1</definedName>
    <definedName name="solver_typ" localSheetId="0" hidden="1">1</definedName>
    <definedName name="solver_val" localSheetId="1" hidden="1">0</definedName>
    <definedName name="solver_val" localSheetId="3" hidden="1">0</definedName>
    <definedName name="solver_val" localSheetId="2" hidden="1">0</definedName>
    <definedName name="solver_val" localSheetId="0" hidden="1">0</definedName>
  </definedNames>
  <calcPr calcId="144525"/>
</workbook>
</file>

<file path=xl/calcChain.xml><?xml version="1.0" encoding="utf-8"?>
<calcChain xmlns="http://schemas.openxmlformats.org/spreadsheetml/2006/main">
  <c r="J29" i="9" l="1"/>
  <c r="I29" i="9"/>
  <c r="H29" i="9"/>
  <c r="K29" i="9" l="1"/>
  <c r="K25" i="9"/>
  <c r="K26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7" i="9"/>
  <c r="K6" i="9"/>
  <c r="K5" i="9"/>
  <c r="K4" i="9"/>
  <c r="C46" i="6"/>
  <c r="H34" i="6"/>
  <c r="C46" i="4"/>
  <c r="H34" i="4"/>
  <c r="C46" i="3"/>
  <c r="H34" i="3"/>
  <c r="K27" i="9" l="1"/>
  <c r="K8" i="9"/>
  <c r="L15" i="9"/>
  <c r="L16" i="9"/>
  <c r="K24" i="9"/>
  <c r="B9" i="7"/>
  <c r="D27" i="6"/>
  <c r="D28" i="6" s="1"/>
  <c r="D27" i="4"/>
  <c r="D27" i="3"/>
  <c r="D28" i="3" s="1"/>
  <c r="E12" i="6"/>
  <c r="E10" i="6"/>
  <c r="E12" i="4"/>
  <c r="E10" i="4"/>
  <c r="E12" i="3"/>
  <c r="E10" i="3"/>
  <c r="E6" i="3"/>
  <c r="E6" i="4"/>
  <c r="E6" i="6"/>
  <c r="E16" i="6"/>
  <c r="E17" i="6"/>
  <c r="D26" i="6" s="1"/>
  <c r="E16" i="4"/>
  <c r="E17" i="4"/>
  <c r="D26" i="4" s="1"/>
  <c r="E16" i="3"/>
  <c r="E17" i="3"/>
  <c r="D26" i="3" s="1"/>
  <c r="M11" i="7"/>
  <c r="M43" i="7"/>
  <c r="J27" i="7"/>
  <c r="J41" i="7" s="1"/>
  <c r="K41" i="7" s="1"/>
  <c r="M24" i="7"/>
  <c r="J14" i="7"/>
  <c r="J21" i="7" s="1"/>
  <c r="K21" i="7" s="1"/>
  <c r="J2" i="7"/>
  <c r="J6" i="7" s="1"/>
  <c r="K6" i="7" s="1"/>
  <c r="T34" i="6"/>
  <c r="T33" i="6"/>
  <c r="T32" i="6"/>
  <c r="T31" i="6"/>
  <c r="T30" i="6"/>
  <c r="T29" i="6"/>
  <c r="T28" i="6"/>
  <c r="T26" i="6"/>
  <c r="T25" i="6"/>
  <c r="T24" i="6"/>
  <c r="T23" i="6"/>
  <c r="T22" i="6"/>
  <c r="T21" i="6"/>
  <c r="T20" i="6"/>
  <c r="T19" i="6"/>
  <c r="T18" i="6"/>
  <c r="F15" i="7"/>
  <c r="C9" i="7"/>
  <c r="C11" i="7" s="1"/>
  <c r="D9" i="7"/>
  <c r="E11" i="6" s="1"/>
  <c r="E11" i="3"/>
  <c r="E5" i="6"/>
  <c r="E5" i="4"/>
  <c r="D28" i="4"/>
  <c r="H37" i="6" l="1"/>
  <c r="H51" i="6"/>
  <c r="H36" i="6"/>
  <c r="H53" i="6" s="1"/>
  <c r="H48" i="6"/>
  <c r="H51" i="4"/>
  <c r="H36" i="4"/>
  <c r="H53" i="4" s="1"/>
  <c r="H37" i="4"/>
  <c r="H48" i="4"/>
  <c r="H36" i="3"/>
  <c r="H53" i="3" s="1"/>
  <c r="H51" i="3"/>
  <c r="H37" i="3"/>
  <c r="H48" i="3"/>
  <c r="E11" i="4"/>
  <c r="B11" i="7"/>
  <c r="D11" i="7"/>
  <c r="E13" i="3"/>
  <c r="E13" i="6"/>
  <c r="D29" i="6"/>
  <c r="J36" i="7"/>
  <c r="K36" i="7" s="1"/>
  <c r="J35" i="7"/>
  <c r="K35" i="7" s="1"/>
  <c r="J38" i="7"/>
  <c r="K38" i="7" s="1"/>
  <c r="J22" i="7"/>
  <c r="K22" i="7" s="1"/>
  <c r="J18" i="7"/>
  <c r="J23" i="7"/>
  <c r="K23" i="7" s="1"/>
  <c r="J39" i="7"/>
  <c r="K39" i="7" s="1"/>
  <c r="J19" i="7"/>
  <c r="K19" i="7" s="1"/>
  <c r="J34" i="7"/>
  <c r="K34" i="7" s="1"/>
  <c r="J42" i="7"/>
  <c r="K42" i="7" s="1"/>
  <c r="J31" i="7"/>
  <c r="J33" i="7"/>
  <c r="K33" i="7" s="1"/>
  <c r="J40" i="7"/>
  <c r="K40" i="7" s="1"/>
  <c r="J37" i="7"/>
  <c r="K37" i="7" s="1"/>
  <c r="J32" i="7"/>
  <c r="K32" i="7" s="1"/>
  <c r="J10" i="7"/>
  <c r="K10" i="7" s="1"/>
  <c r="J7" i="7"/>
  <c r="K7" i="7" s="1"/>
  <c r="J8" i="7"/>
  <c r="K8" i="7" s="1"/>
  <c r="J9" i="7"/>
  <c r="K9" i="7" s="1"/>
  <c r="E13" i="4"/>
  <c r="D29" i="4"/>
  <c r="D29" i="3"/>
  <c r="H46" i="6" l="1"/>
  <c r="H47" i="6"/>
  <c r="H45" i="6"/>
  <c r="H44" i="6"/>
  <c r="H42" i="6"/>
  <c r="H40" i="6"/>
  <c r="H43" i="6"/>
  <c r="H41" i="6"/>
  <c r="H46" i="4"/>
  <c r="H43" i="4"/>
  <c r="H41" i="4"/>
  <c r="H47" i="4"/>
  <c r="H45" i="4"/>
  <c r="H44" i="4"/>
  <c r="H42" i="4"/>
  <c r="H40" i="4"/>
  <c r="H47" i="3"/>
  <c r="H46" i="3"/>
  <c r="H43" i="3"/>
  <c r="H41" i="3"/>
  <c r="H45" i="3"/>
  <c r="H44" i="3"/>
  <c r="H42" i="3"/>
  <c r="H40" i="3"/>
  <c r="J24" i="7"/>
  <c r="K18" i="7"/>
  <c r="K24" i="7" s="1"/>
  <c r="L23" i="7" s="1"/>
  <c r="C16" i="7" s="1"/>
  <c r="J43" i="7"/>
  <c r="K31" i="7"/>
  <c r="K43" i="7" s="1"/>
  <c r="L41" i="7" s="1"/>
  <c r="J11" i="7"/>
  <c r="K11" i="7"/>
  <c r="L6" i="7" s="1"/>
  <c r="C18" i="7" l="1"/>
  <c r="E18" i="4"/>
  <c r="E20" i="4" s="1"/>
  <c r="E21" i="4" s="1"/>
  <c r="L32" i="7"/>
  <c r="L37" i="7"/>
  <c r="L38" i="7"/>
  <c r="L35" i="7"/>
  <c r="L31" i="7"/>
  <c r="L40" i="7"/>
  <c r="L36" i="7"/>
  <c r="L33" i="7"/>
  <c r="L34" i="7"/>
  <c r="L39" i="7"/>
  <c r="L42" i="7"/>
  <c r="D16" i="7" s="1"/>
  <c r="D18" i="7" s="1"/>
  <c r="D20" i="7" s="1"/>
  <c r="L22" i="7"/>
  <c r="L19" i="7"/>
  <c r="L21" i="7"/>
  <c r="L18" i="7"/>
  <c r="L10" i="7"/>
  <c r="B16" i="7" s="1"/>
  <c r="L9" i="7"/>
  <c r="L8" i="7"/>
  <c r="L7" i="7"/>
  <c r="L11" i="7"/>
  <c r="C21" i="7" l="1"/>
  <c r="C20" i="7"/>
  <c r="H38" i="4"/>
  <c r="H35" i="4"/>
  <c r="H49" i="4" s="1"/>
  <c r="D21" i="7"/>
  <c r="E18" i="6"/>
  <c r="E20" i="6" s="1"/>
  <c r="E21" i="6" s="1"/>
  <c r="E23" i="4"/>
  <c r="H56" i="4" s="1"/>
  <c r="B18" i="7"/>
  <c r="E18" i="3"/>
  <c r="E20" i="3" s="1"/>
  <c r="E21" i="3" s="1"/>
  <c r="L43" i="7"/>
  <c r="L24" i="7"/>
  <c r="H52" i="4" l="1"/>
  <c r="H50" i="4"/>
  <c r="H54" i="4" s="1"/>
  <c r="H39" i="4"/>
  <c r="H38" i="3"/>
  <c r="H35" i="3"/>
  <c r="H49" i="3" s="1"/>
  <c r="B21" i="7"/>
  <c r="E21" i="7" s="1"/>
  <c r="B20" i="7"/>
  <c r="E23" i="6"/>
  <c r="H56" i="6" s="1"/>
  <c r="E23" i="3"/>
  <c r="H52" i="3" l="1"/>
  <c r="H56" i="3"/>
  <c r="H55" i="4"/>
  <c r="H57" i="4"/>
  <c r="H58" i="4" s="1"/>
  <c r="H52" i="6"/>
  <c r="H50" i="3"/>
  <c r="H39" i="3"/>
  <c r="H54" i="3"/>
  <c r="H57" i="3" l="1"/>
  <c r="H58" i="3" s="1"/>
  <c r="H55" i="3"/>
  <c r="H38" i="6" l="1"/>
  <c r="H50" i="6" s="1"/>
  <c r="H35" i="6"/>
  <c r="H49" i="6"/>
  <c r="H54" i="6" l="1"/>
  <c r="H39" i="6"/>
  <c r="H55" i="6"/>
  <c r="H57" i="6"/>
  <c r="H58" i="6" s="1"/>
</calcChain>
</file>

<file path=xl/comments1.xml><?xml version="1.0" encoding="utf-8"?>
<comments xmlns="http://schemas.openxmlformats.org/spreadsheetml/2006/main">
  <authors>
    <author>Philip Cho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Philip Cho:</t>
        </r>
        <r>
          <rPr>
            <sz val="9"/>
            <color indexed="81"/>
            <rFont val="Tahoma"/>
            <family val="2"/>
          </rPr>
          <t xml:space="preserve">
this is a rough estimate from reading the book and looking at some research online. -1.2 might be a little favorable, but its definitely defensible. 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Philip Cho:</t>
        </r>
        <r>
          <rPr>
            <sz val="9"/>
            <color indexed="81"/>
            <rFont val="Tahoma"/>
            <family val="2"/>
          </rPr>
          <t xml:space="preserve">
assuming approx 30 flights max can be flown per day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Philip Cho:</t>
        </r>
        <r>
          <rPr>
            <sz val="9"/>
            <color indexed="81"/>
            <rFont val="Tahoma"/>
            <family val="2"/>
          </rPr>
          <t xml:space="preserve">
using s-curve equation in the book</t>
        </r>
      </text>
    </comment>
  </commentList>
</comments>
</file>

<file path=xl/sharedStrings.xml><?xml version="1.0" encoding="utf-8"?>
<sst xmlns="http://schemas.openxmlformats.org/spreadsheetml/2006/main" count="928" uniqueCount="193">
  <si>
    <t xml:space="preserve"> </t>
  </si>
  <si>
    <t>Aircraft Type</t>
  </si>
  <si>
    <t>Number of Seats</t>
  </si>
  <si>
    <t>Passengers Enplaned</t>
  </si>
  <si>
    <t>Average Load Factor</t>
  </si>
  <si>
    <t>PAX SERVICE</t>
  </si>
  <si>
    <t>Indirect Operating Costs</t>
  </si>
  <si>
    <t>TRAFFIC SERVICE</t>
  </si>
  <si>
    <t>AIRCRAFT SERVICE</t>
  </si>
  <si>
    <t>PROMOTION/SALES</t>
  </si>
  <si>
    <t>Passenger Service</t>
  </si>
  <si>
    <t>per RPM</t>
  </si>
  <si>
    <t>GEN ADMINISTRN</t>
  </si>
  <si>
    <t>Traffic Servicing</t>
  </si>
  <si>
    <t>per Enplanement</t>
  </si>
  <si>
    <t>Aircraft Servicing</t>
  </si>
  <si>
    <t>per Departure</t>
  </si>
  <si>
    <t>Promotion and Sales</t>
  </si>
  <si>
    <t>of Passenger Revenues</t>
  </si>
  <si>
    <t>General and Administrative</t>
  </si>
  <si>
    <t>per ASM</t>
  </si>
  <si>
    <t>OPERATING PROFIT</t>
  </si>
  <si>
    <t>Total daily flights</t>
  </si>
  <si>
    <t>Block Hours per flight</t>
  </si>
  <si>
    <t>Seat Departures</t>
  </si>
  <si>
    <t>OPERATING MARGIN</t>
  </si>
  <si>
    <t>Expected Market Share (function of Freq Share)</t>
  </si>
  <si>
    <t>(sum of one-way passenger trips over both directions)</t>
  </si>
  <si>
    <t>Total daily passenger revenue for New Entrant</t>
  </si>
  <si>
    <t>OPERATIONS DATA</t>
  </si>
  <si>
    <t>Daily Block Hours</t>
  </si>
  <si>
    <t>RPMs per Day</t>
  </si>
  <si>
    <t>ESTIMATED OPERATING COSTS</t>
  </si>
  <si>
    <t>Flight Operating Costs</t>
  </si>
  <si>
    <t>Total Operating Costs</t>
  </si>
  <si>
    <t>Unit Cost</t>
  </si>
  <si>
    <t>ASM per day</t>
  </si>
  <si>
    <t>TOTAL FOC</t>
  </si>
  <si>
    <t>Market Share= Freq Share</t>
  </si>
  <si>
    <t>BH=0.67+0.002*Distance</t>
  </si>
  <si>
    <t>ROUTE EVALUATION (ALL VALUES ARE PER DAY OF OPERATIONS)</t>
  </si>
  <si>
    <t>Current Average Fare (2Q10)</t>
  </si>
  <si>
    <t>Proposed Average Fare</t>
  </si>
  <si>
    <t>Baseline PDEW (Summed over both directions)</t>
  </si>
  <si>
    <t>5% market growth</t>
  </si>
  <si>
    <t>Assumed Price Elasticity</t>
  </si>
  <si>
    <t>Estimated demand for 2Q11 at current fares</t>
  </si>
  <si>
    <t>Projected demand at new fares</t>
  </si>
  <si>
    <t>MARKET DEMAND ESTIMATES</t>
  </si>
  <si>
    <t>NEW ENTRANT MARKET SHARE</t>
  </si>
  <si>
    <t>Existing Nonstop Flights per day (each direction)</t>
  </si>
  <si>
    <t>New Entrant Daily Flights (each direction)</t>
  </si>
  <si>
    <t>Total daily passengers on New Entrant</t>
  </si>
  <si>
    <t>From Top 1000 file</t>
  </si>
  <si>
    <t>Mixed business/leisure</t>
  </si>
  <si>
    <t>From 5000 routes file</t>
  </si>
  <si>
    <t>Comments</t>
  </si>
  <si>
    <t xml:space="preserve">Non-stop miles </t>
  </si>
  <si>
    <t>Total</t>
  </si>
  <si>
    <t xml:space="preserve">Southwest Airlines      </t>
  </si>
  <si>
    <t>WN</t>
  </si>
  <si>
    <t xml:space="preserve">United Airlines         </t>
  </si>
  <si>
    <t>UA</t>
  </si>
  <si>
    <t>Other Locals</t>
  </si>
  <si>
    <t>Other</t>
  </si>
  <si>
    <t>Off-line Connects</t>
  </si>
  <si>
    <t>Offline</t>
  </si>
  <si>
    <t xml:space="preserve">    </t>
  </si>
  <si>
    <t xml:space="preserve">                </t>
  </si>
  <si>
    <t>Non-</t>
  </si>
  <si>
    <t>Pass</t>
  </si>
  <si>
    <t>Revenue</t>
  </si>
  <si>
    <t>%</t>
  </si>
  <si>
    <t>Markets</t>
  </si>
  <si>
    <t xml:space="preserve">             </t>
  </si>
  <si>
    <t>Stop</t>
  </si>
  <si>
    <t>Per</t>
  </si>
  <si>
    <t xml:space="preserve">  Per</t>
  </si>
  <si>
    <t>Market</t>
  </si>
  <si>
    <t>Avg.</t>
  </si>
  <si>
    <t>Rank</t>
  </si>
  <si>
    <t>Market / Carrier</t>
  </si>
  <si>
    <t>Milage</t>
  </si>
  <si>
    <t>Day</t>
  </si>
  <si>
    <t xml:space="preserve">  Day</t>
  </si>
  <si>
    <t>Share</t>
  </si>
  <si>
    <t>Yield</t>
  </si>
  <si>
    <t>Haul</t>
  </si>
  <si>
    <t>YrQtr</t>
  </si>
  <si>
    <t>Cty1</t>
  </si>
  <si>
    <t>Cty2</t>
  </si>
  <si>
    <t>Sort</t>
  </si>
  <si>
    <t>Item</t>
  </si>
  <si>
    <t>Atlanta-Dallas</t>
  </si>
  <si>
    <t>From Top 1000 file (Revenue per day/passengers per day)</t>
  </si>
  <si>
    <t>TOTAL</t>
  </si>
  <si>
    <t>UAL</t>
  </si>
  <si>
    <t>United Air Lines</t>
  </si>
  <si>
    <t>A319 A320</t>
  </si>
  <si>
    <t xml:space="preserve">Atlanta             GA     </t>
  </si>
  <si>
    <t xml:space="preserve"> +AL</t>
  </si>
  <si>
    <t xml:space="preserve"> +DA</t>
  </si>
  <si>
    <t xml:space="preserve">Dallas/Fort Worth   TX     </t>
  </si>
  <si>
    <t xml:space="preserve">Delta Air Lines         </t>
  </si>
  <si>
    <t>DL</t>
  </si>
  <si>
    <t xml:space="preserve">American Airlines       </t>
  </si>
  <si>
    <t>AA</t>
  </si>
  <si>
    <t xml:space="preserve">Airtran/Frontier        </t>
  </si>
  <si>
    <t>FL</t>
  </si>
  <si>
    <t>Dallas-Chicago</t>
  </si>
  <si>
    <t xml:space="preserve">Chicago             IL     </t>
  </si>
  <si>
    <t xml:space="preserve"> +CH</t>
  </si>
  <si>
    <t>Chicago-Atlanta</t>
  </si>
  <si>
    <t>&lt;=</t>
  </si>
  <si>
    <t>DATA</t>
  </si>
  <si>
    <t>RANK</t>
  </si>
  <si>
    <t>ORIGIN</t>
  </si>
  <si>
    <t>DEST</t>
  </si>
  <si>
    <t>ICAO CODE</t>
  </si>
  <si>
    <t>CARRIER NAME</t>
  </si>
  <si>
    <t>DAILY FREQ</t>
  </si>
  <si>
    <t>TOTAL FLIGHTS</t>
  </si>
  <si>
    <t>FREQ SHARE</t>
  </si>
  <si>
    <t>AIRCRAFT TYPES</t>
  </si>
  <si>
    <t>ORIG</t>
  </si>
  <si>
    <t>DFW</t>
  </si>
  <si>
    <t>ORD</t>
  </si>
  <si>
    <t>AAL</t>
  </si>
  <si>
    <t>American Airlines</t>
  </si>
  <si>
    <t xml:space="preserve"> B738 B772 MD80 MD82 MD83</t>
  </si>
  <si>
    <t xml:space="preserve"> B738 B763 B772 MD82 MD83</t>
  </si>
  <si>
    <t>A319 A320 B752</t>
  </si>
  <si>
    <t xml:space="preserve"> A319 A320</t>
  </si>
  <si>
    <t>TCF</t>
  </si>
  <si>
    <t>Shuttle America</t>
  </si>
  <si>
    <t>E170</t>
  </si>
  <si>
    <t>SKW</t>
  </si>
  <si>
    <t>Skywest Airlines</t>
  </si>
  <si>
    <t>CRJ7</t>
  </si>
  <si>
    <t>Combined Freq</t>
  </si>
  <si>
    <t>ATL</t>
  </si>
  <si>
    <t>EGF</t>
  </si>
  <si>
    <t>American Eagle Airlines</t>
  </si>
  <si>
    <t>CRJ7 E145</t>
  </si>
  <si>
    <t>DAL</t>
  </si>
  <si>
    <t>Delta Air Lines</t>
  </si>
  <si>
    <t xml:space="preserve"> B738 B752 DC95 MD88 MD90</t>
  </si>
  <si>
    <t>B738 B752 DC95 MD88 MD90</t>
  </si>
  <si>
    <t>CPZ</t>
  </si>
  <si>
    <t>Compass Airlines</t>
  </si>
  <si>
    <t>ASH</t>
  </si>
  <si>
    <t>Mesa Airlines</t>
  </si>
  <si>
    <t>ASQ</t>
  </si>
  <si>
    <t>Atlantic Southeast Airlines</t>
  </si>
  <si>
    <t>CRJ2 CRJ9</t>
  </si>
  <si>
    <t>MDW</t>
  </si>
  <si>
    <t>TRS</t>
  </si>
  <si>
    <t>AirTran Airways</t>
  </si>
  <si>
    <t>B712 B737</t>
  </si>
  <si>
    <t>B738 MD88 MD90</t>
  </si>
  <si>
    <t>FLG</t>
  </si>
  <si>
    <t>Pinnacle Airlines</t>
  </si>
  <si>
    <t>CRJ9</t>
  </si>
  <si>
    <t>CRJ2 CRJ7 CRJ9</t>
  </si>
  <si>
    <t>B737 B738 B752 MD88</t>
  </si>
  <si>
    <t>MD82 MD83</t>
  </si>
  <si>
    <t>total freq w/entrant</t>
  </si>
  <si>
    <t>ENTRANT</t>
  </si>
  <si>
    <t>airline</t>
  </si>
  <si>
    <t>freq share</t>
  </si>
  <si>
    <t>fs^a</t>
  </si>
  <si>
    <t>total</t>
  </si>
  <si>
    <t>a (s-curve coefficient)</t>
  </si>
  <si>
    <t>predicted mkt share</t>
  </si>
  <si>
    <t>using s curve equation</t>
  </si>
  <si>
    <t>ATL-DAL</t>
  </si>
  <si>
    <t>DAL-CHI</t>
  </si>
  <si>
    <t>CHI-ATL</t>
  </si>
  <si>
    <t>actual mkt share</t>
  </si>
  <si>
    <t>CRJ700</t>
  </si>
  <si>
    <t>Pax per flight</t>
  </si>
  <si>
    <t>Crew</t>
  </si>
  <si>
    <t>per block hour</t>
  </si>
  <si>
    <t>Fuel/Oil</t>
  </si>
  <si>
    <t>Aircraft Cost</t>
  </si>
  <si>
    <t>Insurance</t>
  </si>
  <si>
    <t>Taxes</t>
  </si>
  <si>
    <t>Maintenance Direct</t>
  </si>
  <si>
    <t>Maintenance Burden</t>
  </si>
  <si>
    <t>Total Block Hour</t>
  </si>
  <si>
    <t>Revenu</t>
  </si>
  <si>
    <t>Actual Pax</t>
  </si>
  <si>
    <t>Profit 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</si>
</sst>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#,##0.0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  <numFmt numFmtId="168" formatCode="0.0"/>
    <numFmt numFmtId="169" formatCode="_(* #,##0_);_(* \(#,##0\);_(* &quot;-&quot;??_);_(@_)"/>
    <numFmt numFmtId="170" formatCode="0.0%"/>
    <numFmt numFmtId="171" formatCode="#,##0.0_);\(#,##0.0\)"/>
    <numFmt numFmtId="172" formatCode="###0"/>
    <numFmt numFmtId="173" formatCode="0.000%"/>
    <numFmt numFmtId="174" formatCode="_(&quot;$&quot;* #,##0.0000_);_(&quot;$&quot;* \(#,##0.0000\);_(&quot;$&quot;* &quot;-&quot;??_);_(@_)"/>
  </numFmts>
  <fonts count="16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 MT"/>
    </font>
    <font>
      <b/>
      <u/>
      <sz val="11"/>
      <color indexed="8"/>
      <name val="Arial MT"/>
      <family val="2"/>
    </font>
    <font>
      <u/>
      <sz val="11"/>
      <color indexed="8"/>
      <name val="Arial MT"/>
    </font>
    <font>
      <b/>
      <sz val="11"/>
      <color indexed="8"/>
      <name val="Arial MT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color indexed="8"/>
      <name val="Arial MT"/>
    </font>
    <font>
      <sz val="10"/>
      <name val="Arial"/>
      <family val="2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4" fillId="0" borderId="0" xfId="0" applyFont="1" applyProtection="1"/>
    <xf numFmtId="0" fontId="7" fillId="0" borderId="0" xfId="0" applyFont="1" applyFill="1"/>
    <xf numFmtId="0" fontId="2" fillId="0" borderId="0" xfId="0" applyFont="1" applyFill="1"/>
    <xf numFmtId="5" fontId="6" fillId="0" borderId="0" xfId="0" applyNumberFormat="1" applyFont="1" applyFill="1" applyProtection="1"/>
    <xf numFmtId="0" fontId="3" fillId="0" borderId="0" xfId="0" applyFont="1" applyFill="1" applyProtection="1"/>
    <xf numFmtId="166" fontId="2" fillId="0" borderId="0" xfId="2" applyNumberFormat="1" applyFont="1" applyFill="1"/>
    <xf numFmtId="0" fontId="9" fillId="0" borderId="0" xfId="0" applyFont="1" applyFill="1" applyProtection="1"/>
    <xf numFmtId="0" fontId="7" fillId="0" borderId="0" xfId="0" applyFont="1"/>
    <xf numFmtId="166" fontId="7" fillId="0" borderId="0" xfId="2" applyNumberFormat="1" applyFont="1"/>
    <xf numFmtId="0" fontId="8" fillId="0" borderId="0" xfId="0" applyFont="1" applyFill="1"/>
    <xf numFmtId="37" fontId="3" fillId="0" borderId="0" xfId="0" applyNumberFormat="1" applyFont="1" applyFill="1" applyProtection="1"/>
    <xf numFmtId="10" fontId="3" fillId="0" borderId="0" xfId="0" applyNumberFormat="1" applyFont="1" applyFill="1" applyProtection="1"/>
    <xf numFmtId="5" fontId="2" fillId="0" borderId="0" xfId="0" applyNumberFormat="1" applyFont="1" applyFill="1" applyProtection="1"/>
    <xf numFmtId="166" fontId="3" fillId="0" borderId="0" xfId="2" applyNumberFormat="1" applyFont="1" applyFill="1" applyProtection="1"/>
    <xf numFmtId="168" fontId="3" fillId="0" borderId="0" xfId="0" applyNumberFormat="1" applyFont="1" applyFill="1" applyProtection="1"/>
    <xf numFmtId="2" fontId="3" fillId="0" borderId="0" xfId="1" applyNumberFormat="1" applyFont="1" applyFill="1" applyProtection="1"/>
    <xf numFmtId="0" fontId="6" fillId="0" borderId="0" xfId="0" applyFont="1" applyFill="1" applyProtection="1"/>
    <xf numFmtId="171" fontId="3" fillId="0" borderId="0" xfId="0" applyNumberFormat="1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Protection="1"/>
    <xf numFmtId="0" fontId="5" fillId="0" borderId="0" xfId="0" applyFont="1" applyFill="1" applyProtection="1"/>
    <xf numFmtId="167" fontId="3" fillId="0" borderId="0" xfId="2" applyNumberFormat="1" applyFont="1" applyFill="1" applyProtection="1"/>
    <xf numFmtId="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3" fillId="0" borderId="0" xfId="0" applyFont="1" applyFill="1" applyBorder="1" applyProtection="1"/>
    <xf numFmtId="169" fontId="3" fillId="0" borderId="0" xfId="1" applyNumberFormat="1" applyFont="1" applyFill="1" applyBorder="1" applyProtection="1"/>
    <xf numFmtId="37" fontId="3" fillId="0" borderId="0" xfId="0" applyNumberFormat="1" applyFont="1" applyFill="1" applyBorder="1" applyProtection="1"/>
    <xf numFmtId="10" fontId="6" fillId="0" borderId="0" xfId="0" applyNumberFormat="1" applyFont="1" applyFill="1" applyBorder="1" applyProtection="1"/>
    <xf numFmtId="37" fontId="6" fillId="0" borderId="0" xfId="0" applyNumberFormat="1" applyFont="1" applyFill="1" applyBorder="1" applyProtection="1"/>
    <xf numFmtId="167" fontId="7" fillId="0" borderId="0" xfId="2" applyNumberFormat="1" applyFont="1" applyFill="1" applyBorder="1"/>
    <xf numFmtId="0" fontId="11" fillId="0" borderId="0" xfId="0" applyFont="1"/>
    <xf numFmtId="3" fontId="0" fillId="0" borderId="0" xfId="0" applyNumberFormat="1"/>
    <xf numFmtId="165" fontId="0" fillId="0" borderId="0" xfId="0" applyNumberFormat="1"/>
    <xf numFmtId="4" fontId="0" fillId="0" borderId="0" xfId="0" applyNumberFormat="1"/>
    <xf numFmtId="172" fontId="0" fillId="0" borderId="0" xfId="0" applyNumberFormat="1"/>
    <xf numFmtId="5" fontId="6" fillId="3" borderId="0" xfId="0" applyNumberFormat="1" applyFont="1" applyFill="1" applyProtection="1"/>
    <xf numFmtId="0" fontId="0" fillId="0" borderId="0" xfId="0" applyFill="1"/>
    <xf numFmtId="170" fontId="0" fillId="0" borderId="0" xfId="0" applyNumberFormat="1" applyFill="1"/>
    <xf numFmtId="0" fontId="3" fillId="3" borderId="0" xfId="0" applyFont="1" applyFill="1" applyProtection="1"/>
    <xf numFmtId="166" fontId="0" fillId="4" borderId="0" xfId="0" applyNumberFormat="1" applyFill="1"/>
    <xf numFmtId="0" fontId="10" fillId="0" borderId="0" xfId="0" applyFont="1"/>
    <xf numFmtId="0" fontId="3" fillId="0" borderId="2" xfId="0" applyFont="1" applyBorder="1" applyProtection="1"/>
    <xf numFmtId="0" fontId="2" fillId="0" borderId="2" xfId="0" applyFont="1" applyBorder="1"/>
    <xf numFmtId="0" fontId="0" fillId="0" borderId="2" xfId="0" applyBorder="1"/>
    <xf numFmtId="0" fontId="12" fillId="0" borderId="0" xfId="0" applyFont="1"/>
    <xf numFmtId="0" fontId="12" fillId="0" borderId="0" xfId="0" applyFont="1" applyAlignment="1">
      <alignment horizontal="left"/>
    </xf>
    <xf numFmtId="168" fontId="12" fillId="0" borderId="0" xfId="0" applyNumberFormat="1" applyFont="1"/>
    <xf numFmtId="170" fontId="12" fillId="0" borderId="0" xfId="0" applyNumberFormat="1" applyFont="1"/>
    <xf numFmtId="0" fontId="0" fillId="2" borderId="0" xfId="0" applyFill="1"/>
    <xf numFmtId="168" fontId="0" fillId="2" borderId="0" xfId="0" applyNumberFormat="1" applyFill="1"/>
    <xf numFmtId="170" fontId="0" fillId="2" borderId="0" xfId="0" applyNumberFormat="1" applyFill="1"/>
    <xf numFmtId="10" fontId="0" fillId="2" borderId="0" xfId="0" applyNumberFormat="1" applyFill="1"/>
    <xf numFmtId="170" fontId="0" fillId="0" borderId="0" xfId="0" applyNumberFormat="1"/>
    <xf numFmtId="0" fontId="12" fillId="0" borderId="2" xfId="0" applyFont="1" applyBorder="1"/>
    <xf numFmtId="0" fontId="0" fillId="2" borderId="2" xfId="0" applyFill="1" applyBorder="1"/>
    <xf numFmtId="168" fontId="2" fillId="0" borderId="0" xfId="0" applyNumberFormat="1" applyFont="1"/>
    <xf numFmtId="10" fontId="2" fillId="0" borderId="0" xfId="0" applyNumberFormat="1" applyFont="1"/>
    <xf numFmtId="0" fontId="10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0" fillId="0" borderId="7" xfId="0" applyBorder="1"/>
    <xf numFmtId="10" fontId="2" fillId="0" borderId="0" xfId="0" applyNumberFormat="1" applyFont="1" applyBorder="1"/>
    <xf numFmtId="0" fontId="2" fillId="0" borderId="3" xfId="0" applyFont="1" applyBorder="1"/>
    <xf numFmtId="0" fontId="2" fillId="0" borderId="3" xfId="0" applyFont="1" applyFill="1" applyBorder="1"/>
    <xf numFmtId="10" fontId="2" fillId="0" borderId="3" xfId="0" applyNumberFormat="1" applyFont="1" applyBorder="1"/>
    <xf numFmtId="10" fontId="0" fillId="0" borderId="3" xfId="0" applyNumberFormat="1" applyBorder="1"/>
    <xf numFmtId="0" fontId="0" fillId="0" borderId="3" xfId="0" applyBorder="1"/>
    <xf numFmtId="168" fontId="2" fillId="0" borderId="3" xfId="0" applyNumberFormat="1" applyFont="1" applyBorder="1"/>
    <xf numFmtId="0" fontId="10" fillId="0" borderId="3" xfId="0" applyFont="1" applyBorder="1"/>
    <xf numFmtId="0" fontId="2" fillId="0" borderId="4" xfId="0" applyFont="1" applyFill="1" applyBorder="1"/>
    <xf numFmtId="0" fontId="0" fillId="0" borderId="0" xfId="0" applyBorder="1"/>
    <xf numFmtId="4" fontId="0" fillId="0" borderId="3" xfId="0" applyNumberFormat="1" applyBorder="1"/>
    <xf numFmtId="4" fontId="2" fillId="0" borderId="3" xfId="0" applyNumberFormat="1" applyFont="1" applyBorder="1"/>
    <xf numFmtId="2" fontId="0" fillId="0" borderId="3" xfId="0" applyNumberFormat="1" applyBorder="1"/>
    <xf numFmtId="2" fontId="0" fillId="0" borderId="0" xfId="0" applyNumberFormat="1"/>
    <xf numFmtId="3" fontId="3" fillId="0" borderId="0" xfId="0" applyNumberFormat="1" applyFont="1" applyFill="1" applyProtection="1"/>
    <xf numFmtId="0" fontId="10" fillId="0" borderId="3" xfId="0" applyFont="1" applyFill="1" applyBorder="1"/>
    <xf numFmtId="168" fontId="2" fillId="0" borderId="0" xfId="0" applyNumberFormat="1" applyFont="1" applyFill="1"/>
    <xf numFmtId="1" fontId="2" fillId="0" borderId="0" xfId="0" applyNumberFormat="1" applyFont="1"/>
    <xf numFmtId="170" fontId="7" fillId="0" borderId="0" xfId="3" applyNumberFormat="1" applyFont="1" applyFill="1" applyBorder="1"/>
    <xf numFmtId="169" fontId="2" fillId="0" borderId="0" xfId="0" applyNumberFormat="1" applyFont="1"/>
    <xf numFmtId="173" fontId="2" fillId="0" borderId="0" xfId="3" applyNumberFormat="1" applyFont="1"/>
    <xf numFmtId="169" fontId="7" fillId="0" borderId="0" xfId="0" applyNumberFormat="1" applyFont="1"/>
    <xf numFmtId="174" fontId="7" fillId="0" borderId="0" xfId="2" applyNumberFormat="1" applyFont="1"/>
    <xf numFmtId="44" fontId="7" fillId="0" borderId="0" xfId="2" applyFont="1"/>
    <xf numFmtId="9" fontId="7" fillId="0" borderId="0" xfId="3" applyFont="1"/>
    <xf numFmtId="169" fontId="0" fillId="0" borderId="0" xfId="0" applyNumberFormat="1"/>
    <xf numFmtId="166" fontId="7" fillId="0" borderId="0" xfId="0" applyNumberFormat="1" applyFont="1"/>
    <xf numFmtId="166" fontId="7" fillId="0" borderId="0" xfId="2" applyNumberFormat="1" applyFont="1" applyFill="1" applyBorder="1"/>
    <xf numFmtId="166" fontId="15" fillId="0" borderId="0" xfId="2" applyNumberFormat="1" applyFont="1"/>
    <xf numFmtId="166" fontId="15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workbookViewId="0">
      <selection activeCell="B4" sqref="B4:D4"/>
    </sheetView>
  </sheetViews>
  <sheetFormatPr defaultRowHeight="12.75"/>
  <cols>
    <col min="1" max="1" width="52.42578125" bestFit="1" customWidth="1"/>
    <col min="2" max="2" width="9.85546875" bestFit="1" customWidth="1"/>
    <col min="3" max="3" width="11" bestFit="1" customWidth="1"/>
    <col min="4" max="4" width="9.85546875" bestFit="1" customWidth="1"/>
    <col min="5" max="5" width="9.7109375" bestFit="1" customWidth="1"/>
    <col min="9" max="9" width="19.85546875" customWidth="1"/>
    <col min="10" max="10" width="10.42578125" bestFit="1" customWidth="1"/>
  </cols>
  <sheetData>
    <row r="1" spans="1:13">
      <c r="I1" s="60" t="s">
        <v>175</v>
      </c>
      <c r="J1" s="61"/>
      <c r="K1" s="61"/>
      <c r="L1" s="61"/>
      <c r="M1" s="62"/>
    </row>
    <row r="2" spans="1:13" ht="14.25">
      <c r="B2" s="43" t="s">
        <v>175</v>
      </c>
      <c r="C2" s="43" t="s">
        <v>176</v>
      </c>
      <c r="D2" s="43" t="s">
        <v>177</v>
      </c>
      <c r="I2" s="66" t="s">
        <v>166</v>
      </c>
      <c r="J2" s="71">
        <f>Optimization!B14+Optimization!B15</f>
        <v>31.3</v>
      </c>
      <c r="K2" s="63"/>
      <c r="L2" s="63"/>
      <c r="M2" s="64"/>
    </row>
    <row r="3" spans="1:13" ht="15">
      <c r="A3" s="10" t="s">
        <v>41</v>
      </c>
      <c r="B3" s="11">
        <v>152</v>
      </c>
      <c r="C3" s="11">
        <v>191.21492301050512</v>
      </c>
      <c r="D3" s="11">
        <v>139.47745428137586</v>
      </c>
      <c r="I3" s="66" t="s">
        <v>172</v>
      </c>
      <c r="J3" s="66">
        <v>1.3</v>
      </c>
      <c r="K3" s="63"/>
      <c r="L3" s="63"/>
      <c r="M3" s="64"/>
    </row>
    <row r="4" spans="1:13" ht="15">
      <c r="A4" s="4" t="s">
        <v>42</v>
      </c>
      <c r="B4" s="38">
        <v>122</v>
      </c>
      <c r="C4" s="38">
        <v>153</v>
      </c>
      <c r="D4" s="38">
        <v>112</v>
      </c>
      <c r="I4" s="45"/>
      <c r="J4" s="63"/>
      <c r="K4" s="63"/>
      <c r="L4" s="63"/>
      <c r="M4" s="64"/>
    </row>
    <row r="5" spans="1:13" ht="14.25">
      <c r="A5" s="5"/>
      <c r="B5" s="5"/>
      <c r="C5" s="5"/>
      <c r="D5" s="5"/>
      <c r="I5" s="66" t="s">
        <v>168</v>
      </c>
      <c r="J5" s="66" t="s">
        <v>169</v>
      </c>
      <c r="K5" s="66" t="s">
        <v>170</v>
      </c>
      <c r="L5" s="66" t="s">
        <v>173</v>
      </c>
      <c r="M5" s="67" t="s">
        <v>178</v>
      </c>
    </row>
    <row r="6" spans="1:13" ht="15">
      <c r="A6" s="4"/>
      <c r="B6" s="6"/>
      <c r="C6" s="6"/>
      <c r="D6" s="6"/>
      <c r="I6" s="66" t="s">
        <v>144</v>
      </c>
      <c r="J6" s="68">
        <f>'ATL-DAL'!N18/Optimization!$J$2</f>
        <v>0.36315228966986257</v>
      </c>
      <c r="K6" s="66">
        <f>J6^$J$3</f>
        <v>0.26798804638631418</v>
      </c>
      <c r="L6" s="68">
        <f t="shared" ref="L6:L11" si="0">K6/$K$11</f>
        <v>0.39678797560713946</v>
      </c>
      <c r="M6" s="75">
        <v>41.19</v>
      </c>
    </row>
    <row r="7" spans="1:13" ht="15">
      <c r="A7" s="12" t="s">
        <v>48</v>
      </c>
      <c r="B7" s="6"/>
      <c r="C7" s="6"/>
      <c r="D7" s="6"/>
      <c r="I7" s="66" t="s">
        <v>127</v>
      </c>
      <c r="J7" s="68">
        <f>'ATL-DAL'!N19/Optimization!$J$2</f>
        <v>0.30564430244941437</v>
      </c>
      <c r="K7" s="66">
        <f>J7^$J$3</f>
        <v>0.2141811252031916</v>
      </c>
      <c r="L7" s="68">
        <f t="shared" si="0"/>
        <v>0.31712046947096117</v>
      </c>
      <c r="M7" s="75">
        <v>39.25</v>
      </c>
    </row>
    <row r="8" spans="1:13" ht="14.25">
      <c r="A8" s="7" t="s">
        <v>43</v>
      </c>
      <c r="B8" s="13">
        <v>2452.8000000000002</v>
      </c>
      <c r="C8" s="13">
        <v>2779.6</v>
      </c>
      <c r="D8" s="13">
        <v>3029.4</v>
      </c>
      <c r="I8" s="66" t="s">
        <v>156</v>
      </c>
      <c r="J8" s="68">
        <f>'ATL-DAL'!N20/Optimization!$J$2</f>
        <v>0.21299254526091596</v>
      </c>
      <c r="K8" s="66">
        <f>J8^$J$3</f>
        <v>0.13392872192882443</v>
      </c>
      <c r="L8" s="68">
        <f t="shared" si="0"/>
        <v>0.1982973015639089</v>
      </c>
      <c r="M8" s="75">
        <v>18.149999999999999</v>
      </c>
    </row>
    <row r="9" spans="1:13" ht="14.25">
      <c r="A9" s="7" t="s">
        <v>46</v>
      </c>
      <c r="B9" s="13">
        <f>B8*1.05</f>
        <v>2575.4400000000005</v>
      </c>
      <c r="C9" s="13">
        <f t="shared" ref="C9:D9" si="1">C8*1.05</f>
        <v>2918.58</v>
      </c>
      <c r="D9" s="13">
        <f t="shared" si="1"/>
        <v>3180.8700000000003</v>
      </c>
      <c r="I9" s="66" t="s">
        <v>64</v>
      </c>
      <c r="J9" s="68">
        <f>'ATL-DAL'!N21/Optimization!$J$2</f>
        <v>3.3013844515441856E-2</v>
      </c>
      <c r="K9" s="66">
        <f>J9^$J$3</f>
        <v>1.1866016066641682E-2</v>
      </c>
      <c r="L9" s="68">
        <f t="shared" si="0"/>
        <v>1.7569039205641939E-2</v>
      </c>
      <c r="M9" s="75">
        <v>3.60884749708964E-2</v>
      </c>
    </row>
    <row r="10" spans="1:13" ht="14.25">
      <c r="A10" s="7" t="s">
        <v>45</v>
      </c>
      <c r="B10" s="18">
        <v>-1.2</v>
      </c>
      <c r="C10" s="18">
        <v>-1.2</v>
      </c>
      <c r="D10" s="18">
        <v>-1.2</v>
      </c>
      <c r="I10" s="66" t="s">
        <v>167</v>
      </c>
      <c r="J10" s="68">
        <f>B15/Optimization!$J$2</f>
        <v>9.5846645367412137E-2</v>
      </c>
      <c r="K10" s="66">
        <f>J10^$J$3</f>
        <v>4.7429657914789397E-2</v>
      </c>
      <c r="L10" s="68">
        <f t="shared" si="0"/>
        <v>7.0225214152348531E-2</v>
      </c>
      <c r="M10" s="75"/>
    </row>
    <row r="11" spans="1:13" ht="14.25">
      <c r="A11" s="7" t="s">
        <v>47</v>
      </c>
      <c r="B11" s="13">
        <f>B9*(1+((B4-B3)/B3)*B10)</f>
        <v>3185.4126315789481</v>
      </c>
      <c r="C11" s="13">
        <f>C9*(1+((C4-C3)/C3)*C10)</f>
        <v>3618.5252233790716</v>
      </c>
      <c r="D11" s="13">
        <f>D9*(1+((D4-D3)/D3)*D10)</f>
        <v>3932.8384994279736</v>
      </c>
      <c r="I11" s="66" t="s">
        <v>171</v>
      </c>
      <c r="J11" s="68">
        <f>SUM(J6:J10)</f>
        <v>1.0106496272630467</v>
      </c>
      <c r="K11" s="66">
        <f>SUM(K6:K10)</f>
        <v>0.67539356749976132</v>
      </c>
      <c r="L11" s="68">
        <f t="shared" si="0"/>
        <v>1</v>
      </c>
      <c r="M11" s="76">
        <f>SUM(M6:M9)</f>
        <v>98.626088474970899</v>
      </c>
    </row>
    <row r="12" spans="1:13" ht="14.25">
      <c r="A12" s="7"/>
      <c r="B12" s="13"/>
      <c r="C12" s="13"/>
      <c r="D12" s="13"/>
    </row>
    <row r="13" spans="1:13" ht="15">
      <c r="A13" s="9" t="s">
        <v>49</v>
      </c>
      <c r="B13" s="13"/>
      <c r="C13" s="13"/>
      <c r="D13" s="13"/>
      <c r="I13" s="73" t="s">
        <v>176</v>
      </c>
      <c r="J13" s="61"/>
      <c r="K13" s="61"/>
      <c r="L13" s="61"/>
      <c r="M13" s="62"/>
    </row>
    <row r="14" spans="1:13" ht="14.25">
      <c r="A14" s="7" t="s">
        <v>50</v>
      </c>
      <c r="B14" s="20">
        <v>28.3</v>
      </c>
      <c r="C14" s="20">
        <v>23</v>
      </c>
      <c r="D14" s="20">
        <v>40.5</v>
      </c>
      <c r="I14" s="66" t="s">
        <v>166</v>
      </c>
      <c r="J14" s="71">
        <f>C14+C15</f>
        <v>28</v>
      </c>
      <c r="K14" s="74"/>
      <c r="L14" s="74"/>
      <c r="M14" s="64"/>
    </row>
    <row r="15" spans="1:13" ht="14.25">
      <c r="A15" s="5" t="s">
        <v>51</v>
      </c>
      <c r="B15" s="41">
        <v>3</v>
      </c>
      <c r="C15" s="41">
        <v>5</v>
      </c>
      <c r="D15" s="41">
        <v>6</v>
      </c>
      <c r="E15" s="43" t="s">
        <v>113</v>
      </c>
      <c r="F15" s="7">
        <f>SUM(B15:D15)</f>
        <v>14</v>
      </c>
      <c r="I15" s="66" t="s">
        <v>172</v>
      </c>
      <c r="J15" s="66">
        <v>1.7</v>
      </c>
      <c r="K15" s="74"/>
      <c r="L15" s="74"/>
      <c r="M15" s="64"/>
    </row>
    <row r="16" spans="1:13" ht="14.25">
      <c r="A16" s="7" t="s">
        <v>26</v>
      </c>
      <c r="B16" s="14">
        <f>L10</f>
        <v>7.0225214152348531E-2</v>
      </c>
      <c r="C16" s="14">
        <f>L23</f>
        <v>0.10968095630533188</v>
      </c>
      <c r="D16" s="14">
        <f>L42</f>
        <v>0.13861357763152096</v>
      </c>
      <c r="I16" s="46"/>
      <c r="J16" s="74"/>
      <c r="K16" s="74"/>
      <c r="L16" s="74"/>
      <c r="M16" s="64"/>
    </row>
    <row r="17" spans="1:13" ht="14.25">
      <c r="A17" s="7"/>
      <c r="B17" s="14"/>
      <c r="C17" s="14"/>
      <c r="D17" s="14"/>
      <c r="I17" s="66" t="s">
        <v>168</v>
      </c>
      <c r="J17" s="66" t="s">
        <v>169</v>
      </c>
      <c r="K17" s="66" t="s">
        <v>170</v>
      </c>
      <c r="L17" s="66" t="s">
        <v>173</v>
      </c>
      <c r="M17" s="67" t="s">
        <v>178</v>
      </c>
    </row>
    <row r="18" spans="1:13" ht="14.25">
      <c r="A18" s="7" t="s">
        <v>52</v>
      </c>
      <c r="B18" s="13">
        <f>B11*B16</f>
        <v>223.69628421622772</v>
      </c>
      <c r="C18" s="13">
        <f t="shared" ref="C18" si="2">C11*C16</f>
        <v>396.88330691518121</v>
      </c>
      <c r="D18" s="13">
        <f>D11*D16</f>
        <v>545.14481465269387</v>
      </c>
      <c r="I18" s="70" t="s">
        <v>127</v>
      </c>
      <c r="J18" s="69">
        <f>'DAL-CHI'!N18/Optimization!$J$14</f>
        <v>0.56309523809523931</v>
      </c>
      <c r="K18" s="70">
        <f>J18^$J$15</f>
        <v>0.37669439045022707</v>
      </c>
      <c r="L18" s="69">
        <f>K18/$K$24</f>
        <v>0.77275180338873151</v>
      </c>
      <c r="M18" s="75">
        <v>67.89</v>
      </c>
    </row>
    <row r="19" spans="1:13" ht="14.25">
      <c r="A19" s="5" t="s">
        <v>27</v>
      </c>
      <c r="B19" s="5"/>
      <c r="C19" s="5"/>
      <c r="D19" s="5"/>
      <c r="I19" s="70" t="s">
        <v>96</v>
      </c>
      <c r="J19" s="69">
        <f>'DAL-CHI'!N19/Optimization!$J$14</f>
        <v>0.15</v>
      </c>
      <c r="K19" s="70">
        <f t="shared" ref="K19:K23" si="3">J19^$J$15</f>
        <v>3.975164821130811E-2</v>
      </c>
      <c r="L19" s="69">
        <f>K19/$K$24</f>
        <v>8.1546629367770213E-2</v>
      </c>
      <c r="M19" s="75">
        <v>16.989999999999998</v>
      </c>
    </row>
    <row r="20" spans="1:13" ht="14.25">
      <c r="A20" s="5" t="s">
        <v>180</v>
      </c>
      <c r="B20" s="81">
        <f>B18/(B15*2)</f>
        <v>37.282714036037952</v>
      </c>
      <c r="C20" s="81">
        <f>C18/(C15*2)</f>
        <v>39.688330691518118</v>
      </c>
      <c r="D20" s="81">
        <f>D18/(D15*2)</f>
        <v>45.428734554391156</v>
      </c>
      <c r="I20" s="70"/>
      <c r="J20" s="69"/>
      <c r="K20" s="70"/>
      <c r="L20" s="69"/>
      <c r="M20" s="75"/>
    </row>
    <row r="21" spans="1:13" ht="14.25">
      <c r="A21" s="7" t="s">
        <v>28</v>
      </c>
      <c r="B21" s="16">
        <f>B18*B4</f>
        <v>27290.946674379782</v>
      </c>
      <c r="C21" s="16">
        <f t="shared" ref="C21:D21" si="4">C18*C4</f>
        <v>60723.145958022724</v>
      </c>
      <c r="D21" s="16">
        <f t="shared" si="4"/>
        <v>61056.219241101717</v>
      </c>
      <c r="E21" s="42">
        <f>SUM(B21:D21)</f>
        <v>149070.31187350422</v>
      </c>
      <c r="I21" s="70" t="s">
        <v>133</v>
      </c>
      <c r="J21" s="69">
        <f>'DAL-CHI'!N20/Optimization!$J$14</f>
        <v>4.7619047619047498E-2</v>
      </c>
      <c r="K21" s="70">
        <f t="shared" si="3"/>
        <v>5.6523259604087253E-3</v>
      </c>
      <c r="L21" s="69">
        <f>K21/$K$24</f>
        <v>1.1595195442189397E-2</v>
      </c>
      <c r="M21" s="75"/>
    </row>
    <row r="22" spans="1:13">
      <c r="I22" s="70" t="s">
        <v>64</v>
      </c>
      <c r="J22" s="69">
        <f>'DAL-CHI'!N21/Optimization!$J$14</f>
        <v>7.3809523809523575E-2</v>
      </c>
      <c r="K22" s="70">
        <f t="shared" si="3"/>
        <v>1.1906691076490542E-2</v>
      </c>
      <c r="L22" s="69">
        <f>K22/$K$24</f>
        <v>2.4425415495976991E-2</v>
      </c>
      <c r="M22" s="75">
        <v>0.04</v>
      </c>
    </row>
    <row r="23" spans="1:13">
      <c r="I23" s="72" t="s">
        <v>167</v>
      </c>
      <c r="J23" s="69">
        <f>C15/$J$14</f>
        <v>0.17857142857142858</v>
      </c>
      <c r="K23" s="70">
        <f t="shared" si="3"/>
        <v>5.3466327478307984E-2</v>
      </c>
      <c r="L23" s="69">
        <f>K23/$K$24</f>
        <v>0.10968095630533188</v>
      </c>
      <c r="M23" s="70"/>
    </row>
    <row r="24" spans="1:13">
      <c r="I24" s="72" t="s">
        <v>171</v>
      </c>
      <c r="J24" s="70">
        <f>SUM(J18:J23)</f>
        <v>1.0130952380952389</v>
      </c>
      <c r="K24" s="70">
        <f t="shared" ref="K24:M24" si="5">SUM(K18:K23)</f>
        <v>0.48747138317674243</v>
      </c>
      <c r="L24" s="70">
        <f t="shared" si="5"/>
        <v>1</v>
      </c>
      <c r="M24" s="70">
        <f t="shared" si="5"/>
        <v>84.92</v>
      </c>
    </row>
    <row r="26" spans="1:13">
      <c r="I26" s="43" t="s">
        <v>177</v>
      </c>
    </row>
    <row r="27" spans="1:13" ht="14.25">
      <c r="I27" s="66" t="s">
        <v>166</v>
      </c>
      <c r="J27" s="71">
        <f>D14+D15</f>
        <v>46.5</v>
      </c>
    </row>
    <row r="28" spans="1:13" ht="14.25">
      <c r="I28" s="66" t="s">
        <v>172</v>
      </c>
      <c r="J28" s="66">
        <v>1.4</v>
      </c>
    </row>
    <row r="30" spans="1:13" ht="14.25">
      <c r="I30" s="66" t="s">
        <v>168</v>
      </c>
      <c r="J30" s="66" t="s">
        <v>169</v>
      </c>
      <c r="K30" s="66" t="s">
        <v>170</v>
      </c>
      <c r="L30" s="66" t="s">
        <v>173</v>
      </c>
      <c r="M30" s="67" t="s">
        <v>178</v>
      </c>
    </row>
    <row r="31" spans="1:13">
      <c r="I31" s="70" t="s">
        <v>141</v>
      </c>
      <c r="J31" s="69">
        <f>'CHI-ATL'!N19/Optimization!$J$27</f>
        <v>0.14193548387096774</v>
      </c>
      <c r="K31" s="70">
        <f>J31^$J$28</f>
        <v>6.5002098240443354E-2</v>
      </c>
      <c r="L31" s="69">
        <f>K31/$K$43</f>
        <v>0.15840012941489401</v>
      </c>
      <c r="M31" s="36">
        <v>13.03</v>
      </c>
    </row>
    <row r="32" spans="1:13">
      <c r="I32" s="70" t="s">
        <v>144</v>
      </c>
      <c r="J32" s="69">
        <f>('CHI-ATL'!N20+'CHI-ATL'!N31)/Optimization!$J$27</f>
        <v>0.17921146953405012</v>
      </c>
      <c r="K32" s="70">
        <f t="shared" ref="K32:K42" si="6">J32^$J$28</f>
        <v>9.0097371588641062E-2</v>
      </c>
      <c r="L32" s="69">
        <f t="shared" ref="L32:L42" si="7">K32/$K$43</f>
        <v>0.21955345605602405</v>
      </c>
      <c r="M32" s="78">
        <v>48.46</v>
      </c>
    </row>
    <row r="33" spans="9:13">
      <c r="I33" s="70" t="s">
        <v>148</v>
      </c>
      <c r="J33" s="69">
        <f>'CHI-ATL'!N21/Optimization!$J$27</f>
        <v>6.3082437275985587E-2</v>
      </c>
      <c r="K33" s="70">
        <f t="shared" si="6"/>
        <v>2.0886797217890451E-2</v>
      </c>
      <c r="L33" s="69">
        <f t="shared" si="7"/>
        <v>5.0897916712448726E-2</v>
      </c>
      <c r="M33" s="77"/>
    </row>
    <row r="34" spans="9:13">
      <c r="I34" s="70" t="s">
        <v>150</v>
      </c>
      <c r="J34" s="69">
        <f>'CHI-ATL'!N22/Optimization!$J$27</f>
        <v>5.9498207885304737E-2</v>
      </c>
      <c r="K34" s="70">
        <f t="shared" si="6"/>
        <v>1.9244447122263048E-2</v>
      </c>
      <c r="L34" s="69">
        <f t="shared" si="7"/>
        <v>4.6895761786162303E-2</v>
      </c>
      <c r="M34" s="77"/>
    </row>
    <row r="35" spans="9:13">
      <c r="I35" s="72" t="s">
        <v>152</v>
      </c>
      <c r="J35" s="69">
        <f>('CHI-ATL'!N23+'CHI-ATL'!N33)/Optimization!$J$27</f>
        <v>6.0931899641577053E-2</v>
      </c>
      <c r="K35" s="70">
        <f t="shared" si="6"/>
        <v>1.9896771176142209E-2</v>
      </c>
      <c r="L35" s="69">
        <f t="shared" si="7"/>
        <v>4.8485375311754897E-2</v>
      </c>
      <c r="M35" s="77"/>
    </row>
    <row r="36" spans="9:13">
      <c r="I36" s="72" t="s">
        <v>96</v>
      </c>
      <c r="J36" s="69">
        <f>'CHI-ATL'!N24/Optimization!$J$27</f>
        <v>4.2293906810035913E-2</v>
      </c>
      <c r="K36" s="70">
        <f t="shared" si="6"/>
        <v>1.1934079473455967E-2</v>
      </c>
      <c r="L36" s="69">
        <f t="shared" si="7"/>
        <v>2.9081518661914534E-2</v>
      </c>
      <c r="M36" s="36">
        <v>15.38</v>
      </c>
    </row>
    <row r="37" spans="9:13">
      <c r="I37" s="70" t="s">
        <v>133</v>
      </c>
      <c r="J37" s="69">
        <f>'CHI-ATL'!N25/Optimization!$J$27</f>
        <v>4.0143369175627309E-2</v>
      </c>
      <c r="K37" s="70">
        <f t="shared" si="6"/>
        <v>1.1093263964372095E-2</v>
      </c>
      <c r="L37" s="69">
        <f t="shared" si="7"/>
        <v>2.7032580411332503E-2</v>
      </c>
      <c r="M37" s="77"/>
    </row>
    <row r="38" spans="9:13">
      <c r="I38" s="70" t="s">
        <v>64</v>
      </c>
      <c r="J38" s="69">
        <f>('CHI-ATL'!N26+'CHI-ATL'!N34)/Optimization!$J$27</f>
        <v>2.5806451612903153E-2</v>
      </c>
      <c r="K38" s="70">
        <f t="shared" si="6"/>
        <v>5.9761241409317205E-3</v>
      </c>
      <c r="L38" s="69">
        <f t="shared" si="7"/>
        <v>1.456289662868274E-2</v>
      </c>
      <c r="M38" s="77"/>
    </row>
    <row r="39" spans="9:13">
      <c r="I39" s="70" t="s">
        <v>156</v>
      </c>
      <c r="J39" s="69">
        <f>'CHI-ATL'!N29/Optimization!$J$27</f>
        <v>0.15842293906810043</v>
      </c>
      <c r="K39" s="70">
        <f t="shared" si="6"/>
        <v>7.5813281058140294E-2</v>
      </c>
      <c r="L39" s="69">
        <f t="shared" si="7"/>
        <v>0.18474532139803196</v>
      </c>
      <c r="M39" s="36">
        <v>21.83</v>
      </c>
    </row>
    <row r="40" spans="9:13">
      <c r="I40" s="70" t="s">
        <v>133</v>
      </c>
      <c r="J40" s="69">
        <f>'CHI-ATL'!N30/Optimization!$J$27</f>
        <v>7.9569892473118284E-2</v>
      </c>
      <c r="K40" s="70">
        <f t="shared" si="6"/>
        <v>2.8910012513219129E-2</v>
      </c>
      <c r="L40" s="69">
        <f t="shared" si="7"/>
        <v>7.0449260061437688E-2</v>
      </c>
      <c r="M40" s="77"/>
    </row>
    <row r="41" spans="9:13">
      <c r="I41" s="70" t="s">
        <v>160</v>
      </c>
      <c r="J41" s="69">
        <f>'CHI-ATL'!N32/Optimization!$J$27</f>
        <v>2.1505376344086023E-2</v>
      </c>
      <c r="K41" s="70">
        <f t="shared" si="6"/>
        <v>4.6298387549708947E-3</v>
      </c>
      <c r="L41" s="69">
        <f t="shared" si="7"/>
        <v>1.1282205925795657E-2</v>
      </c>
      <c r="M41" s="77"/>
    </row>
    <row r="42" spans="9:13">
      <c r="I42" s="72" t="s">
        <v>167</v>
      </c>
      <c r="J42" s="69">
        <f>D15/$J$27</f>
        <v>0.12903225806451613</v>
      </c>
      <c r="K42" s="70">
        <f t="shared" si="6"/>
        <v>5.6882361295698798E-2</v>
      </c>
      <c r="L42" s="69">
        <f t="shared" si="7"/>
        <v>0.13861357763152096</v>
      </c>
      <c r="M42" s="77"/>
    </row>
    <row r="43" spans="9:13">
      <c r="I43" s="80" t="s">
        <v>171</v>
      </c>
      <c r="J43" s="69">
        <f>SUM(J31:J42)</f>
        <v>1.0014336917562725</v>
      </c>
      <c r="K43" s="70">
        <f t="shared" ref="K43:M43" si="8">SUM(K31:K42)</f>
        <v>0.41036644654616899</v>
      </c>
      <c r="L43" s="69">
        <f t="shared" si="8"/>
        <v>0.99999999999999989</v>
      </c>
      <c r="M43" s="77">
        <f t="shared" si="8"/>
        <v>98.7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opLeftCell="A22" zoomScale="85" zoomScaleNormal="85" workbookViewId="0">
      <selection activeCell="H33" sqref="H33:H58"/>
    </sheetView>
  </sheetViews>
  <sheetFormatPr defaultRowHeight="14.25"/>
  <cols>
    <col min="1" max="1" width="29" style="1" customWidth="1"/>
    <col min="2" max="3" width="9.140625" style="1"/>
    <col min="4" max="4" width="11.5703125" style="1" bestFit="1" customWidth="1"/>
    <col min="5" max="5" width="11" style="1" bestFit="1" customWidth="1"/>
    <col min="6" max="6" width="9.140625" style="1"/>
    <col min="7" max="7" width="28.7109375" style="1" customWidth="1"/>
    <col min="8" max="8" width="11" style="1" bestFit="1" customWidth="1"/>
    <col min="9" max="9" width="12.7109375" style="45" customWidth="1"/>
    <col min="10" max="10" width="12.7109375" style="1" customWidth="1"/>
    <col min="11" max="11" width="10.28515625" style="1" bestFit="1" customWidth="1"/>
    <col min="12" max="12" width="9.42578125" style="1" bestFit="1" customWidth="1"/>
    <col min="13" max="16384" width="9.140625" style="1"/>
  </cols>
  <sheetData>
    <row r="1" spans="1:31" ht="15">
      <c r="A1" s="3" t="s">
        <v>40</v>
      </c>
      <c r="C1" s="2"/>
      <c r="D1" s="2"/>
      <c r="E1" s="2"/>
      <c r="F1" s="2"/>
      <c r="G1" s="2"/>
      <c r="H1" s="2"/>
      <c r="I1" s="44" t="s">
        <v>114</v>
      </c>
    </row>
    <row r="3" spans="1:31" ht="15">
      <c r="A3" s="10" t="s">
        <v>93</v>
      </c>
      <c r="G3" s="33" t="s">
        <v>56</v>
      </c>
    </row>
    <row r="4" spans="1:31" ht="15">
      <c r="A4" s="10"/>
      <c r="I4" s="46" t="s">
        <v>67</v>
      </c>
      <c r="J4" t="s">
        <v>68</v>
      </c>
      <c r="K4" s="34" t="s">
        <v>69</v>
      </c>
      <c r="L4" s="35" t="s">
        <v>70</v>
      </c>
      <c r="M4" s="35" t="s">
        <v>71</v>
      </c>
      <c r="N4" s="36" t="s">
        <v>72</v>
      </c>
      <c r="O4" s="36"/>
      <c r="P4" s="34"/>
      <c r="Q4" s="37"/>
      <c r="R4"/>
      <c r="S4"/>
      <c r="T4"/>
      <c r="U4"/>
      <c r="V4"/>
      <c r="W4"/>
      <c r="X4" s="39"/>
    </row>
    <row r="5" spans="1:31" ht="15">
      <c r="A5" s="10" t="s">
        <v>41</v>
      </c>
      <c r="E5" s="11">
        <v>152</v>
      </c>
      <c r="G5" s="1" t="s">
        <v>94</v>
      </c>
      <c r="I5" s="46" t="s">
        <v>73</v>
      </c>
      <c r="J5" t="s">
        <v>74</v>
      </c>
      <c r="K5" s="34" t="s">
        <v>75</v>
      </c>
      <c r="L5" s="35" t="s">
        <v>76</v>
      </c>
      <c r="M5" s="35" t="s">
        <v>77</v>
      </c>
      <c r="N5" s="36" t="s">
        <v>78</v>
      </c>
      <c r="O5" s="36" t="s">
        <v>79</v>
      </c>
      <c r="P5" s="34" t="s">
        <v>79</v>
      </c>
      <c r="Q5" s="37"/>
      <c r="R5"/>
      <c r="S5"/>
      <c r="T5"/>
      <c r="U5"/>
      <c r="V5"/>
      <c r="W5"/>
      <c r="X5" s="39"/>
    </row>
    <row r="6" spans="1:31" ht="15">
      <c r="A6" s="4" t="s">
        <v>42</v>
      </c>
      <c r="B6" s="5"/>
      <c r="C6" s="5"/>
      <c r="D6" s="5"/>
      <c r="E6" s="38">
        <f>Optimization!B4</f>
        <v>122</v>
      </c>
      <c r="F6" s="5"/>
      <c r="G6" s="5"/>
      <c r="I6" s="46" t="s">
        <v>80</v>
      </c>
      <c r="J6" t="s">
        <v>81</v>
      </c>
      <c r="K6" s="34" t="s">
        <v>82</v>
      </c>
      <c r="L6" s="35" t="s">
        <v>83</v>
      </c>
      <c r="M6" s="35" t="s">
        <v>84</v>
      </c>
      <c r="N6" s="36" t="s">
        <v>85</v>
      </c>
      <c r="O6" s="36" t="s">
        <v>86</v>
      </c>
      <c r="P6" s="34" t="s">
        <v>87</v>
      </c>
      <c r="Q6" s="37" t="s">
        <v>88</v>
      </c>
      <c r="R6" t="s">
        <v>89</v>
      </c>
      <c r="S6" t="s">
        <v>90</v>
      </c>
      <c r="T6" t="s">
        <v>91</v>
      </c>
      <c r="U6" t="s">
        <v>92</v>
      </c>
      <c r="V6" t="s">
        <v>89</v>
      </c>
      <c r="W6" t="s">
        <v>90</v>
      </c>
      <c r="X6" s="39"/>
    </row>
    <row r="7" spans="1:31">
      <c r="A7" s="5"/>
      <c r="B7" s="5"/>
      <c r="C7" s="5"/>
      <c r="D7" s="5"/>
      <c r="E7" s="5"/>
      <c r="F7" s="5"/>
      <c r="G7" s="5"/>
      <c r="I7" s="46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/>
      <c r="V7" s="39"/>
      <c r="W7" s="39"/>
      <c r="X7" s="39"/>
    </row>
    <row r="8" spans="1:31" ht="15">
      <c r="A8" s="4"/>
      <c r="B8" s="5"/>
      <c r="C8" s="5"/>
      <c r="D8" s="5"/>
      <c r="E8" s="6"/>
      <c r="F8" s="5"/>
      <c r="G8" s="5"/>
      <c r="I8" s="46">
        <v>55</v>
      </c>
      <c r="J8" t="s">
        <v>99</v>
      </c>
      <c r="K8" s="34">
        <v>734</v>
      </c>
      <c r="L8" s="35">
        <v>1226.4000000000001</v>
      </c>
      <c r="M8" s="35">
        <v>186320.2</v>
      </c>
      <c r="N8" s="36">
        <v>100</v>
      </c>
      <c r="O8" s="36">
        <v>20.59</v>
      </c>
      <c r="P8" s="34">
        <v>738</v>
      </c>
      <c r="Q8" s="37">
        <v>20102</v>
      </c>
      <c r="R8" t="s">
        <v>100</v>
      </c>
      <c r="S8" t="s">
        <v>101</v>
      </c>
      <c r="T8">
        <v>1</v>
      </c>
      <c r="U8" t="s">
        <v>58</v>
      </c>
      <c r="V8" t="s">
        <v>99</v>
      </c>
      <c r="W8" t="s">
        <v>102</v>
      </c>
      <c r="X8"/>
    </row>
    <row r="9" spans="1:31" ht="15">
      <c r="A9" s="12" t="s">
        <v>48</v>
      </c>
      <c r="B9" s="5"/>
      <c r="C9" s="5"/>
      <c r="D9" s="5"/>
      <c r="E9" s="6"/>
      <c r="F9" s="7"/>
      <c r="G9" s="9"/>
      <c r="H9" s="7"/>
      <c r="I9" s="46"/>
      <c r="J9" t="s">
        <v>102</v>
      </c>
      <c r="K9" s="34"/>
      <c r="L9" s="35"/>
      <c r="M9" s="35"/>
      <c r="N9" s="36"/>
      <c r="O9" s="36"/>
      <c r="P9" s="34"/>
      <c r="Q9" s="37"/>
      <c r="R9"/>
      <c r="S9"/>
      <c r="T9"/>
      <c r="U9"/>
      <c r="V9"/>
      <c r="W9"/>
      <c r="X9" s="39"/>
    </row>
    <row r="10" spans="1:31">
      <c r="A10" s="7" t="s">
        <v>43</v>
      </c>
      <c r="B10" s="5"/>
      <c r="C10" s="7"/>
      <c r="D10" s="7"/>
      <c r="E10" s="13">
        <f>Optimization!B8</f>
        <v>2452.8000000000002</v>
      </c>
      <c r="F10" s="7"/>
      <c r="G10" s="7" t="s">
        <v>53</v>
      </c>
      <c r="H10" s="7"/>
      <c r="I10" s="46">
        <v>55</v>
      </c>
      <c r="J10" t="s">
        <v>103</v>
      </c>
      <c r="K10" s="34">
        <v>734</v>
      </c>
      <c r="L10" s="35">
        <v>505.1</v>
      </c>
      <c r="M10" s="35">
        <v>78909.2</v>
      </c>
      <c r="N10" s="36">
        <v>41.19</v>
      </c>
      <c r="O10" s="36">
        <v>21.31</v>
      </c>
      <c r="P10" s="34">
        <v>733</v>
      </c>
      <c r="Q10" s="37">
        <v>20102</v>
      </c>
      <c r="R10" t="s">
        <v>100</v>
      </c>
      <c r="S10" t="s">
        <v>101</v>
      </c>
      <c r="T10">
        <v>2</v>
      </c>
      <c r="U10" t="s">
        <v>104</v>
      </c>
      <c r="V10" t="s">
        <v>99</v>
      </c>
      <c r="W10" t="s">
        <v>102</v>
      </c>
      <c r="X10" s="39"/>
    </row>
    <row r="11" spans="1:31">
      <c r="A11" s="7" t="s">
        <v>46</v>
      </c>
      <c r="B11" s="5"/>
      <c r="C11" s="7"/>
      <c r="D11" s="7"/>
      <c r="E11" s="13">
        <f>Optimization!B9</f>
        <v>2575.4400000000005</v>
      </c>
      <c r="F11" s="7"/>
      <c r="G11" s="7" t="s">
        <v>44</v>
      </c>
      <c r="H11" s="7"/>
      <c r="I11" s="46">
        <v>55</v>
      </c>
      <c r="J11" t="s">
        <v>105</v>
      </c>
      <c r="K11" s="34">
        <v>734</v>
      </c>
      <c r="L11" s="35">
        <v>481.4</v>
      </c>
      <c r="M11" s="35">
        <v>76183.600000000006</v>
      </c>
      <c r="N11" s="36">
        <v>39.25</v>
      </c>
      <c r="O11" s="36">
        <v>21.59</v>
      </c>
      <c r="P11" s="34">
        <v>733</v>
      </c>
      <c r="Q11" s="37">
        <v>20102</v>
      </c>
      <c r="R11" t="s">
        <v>100</v>
      </c>
      <c r="S11" t="s">
        <v>101</v>
      </c>
      <c r="T11">
        <v>2</v>
      </c>
      <c r="U11" t="s">
        <v>106</v>
      </c>
      <c r="V11" t="s">
        <v>99</v>
      </c>
      <c r="W11" t="s">
        <v>102</v>
      </c>
      <c r="X11" s="39"/>
    </row>
    <row r="12" spans="1:31">
      <c r="A12" s="7" t="s">
        <v>45</v>
      </c>
      <c r="B12" s="5"/>
      <c r="C12" s="7"/>
      <c r="D12" s="7"/>
      <c r="E12" s="18">
        <f>Optimization!B10</f>
        <v>-1.2</v>
      </c>
      <c r="F12" s="7"/>
      <c r="G12" s="7" t="s">
        <v>54</v>
      </c>
      <c r="H12" s="7"/>
      <c r="I12" s="46">
        <v>55</v>
      </c>
      <c r="J12" t="s">
        <v>107</v>
      </c>
      <c r="K12" s="34">
        <v>734</v>
      </c>
      <c r="L12" s="35">
        <v>222.6</v>
      </c>
      <c r="M12" s="35">
        <v>27260.7</v>
      </c>
      <c r="N12" s="36">
        <v>18.149999999999999</v>
      </c>
      <c r="O12" s="36">
        <v>16.66</v>
      </c>
      <c r="P12" s="34">
        <v>735</v>
      </c>
      <c r="Q12" s="37">
        <v>20102</v>
      </c>
      <c r="R12" t="s">
        <v>100</v>
      </c>
      <c r="S12" t="s">
        <v>101</v>
      </c>
      <c r="T12">
        <v>2</v>
      </c>
      <c r="U12" t="s">
        <v>108</v>
      </c>
      <c r="V12" t="s">
        <v>99</v>
      </c>
      <c r="W12" t="s">
        <v>102</v>
      </c>
      <c r="X12" s="39"/>
    </row>
    <row r="13" spans="1:31">
      <c r="A13" s="7" t="s">
        <v>47</v>
      </c>
      <c r="B13" s="5"/>
      <c r="C13" s="7"/>
      <c r="D13" s="7"/>
      <c r="E13" s="13">
        <f>E11*(1+((E6-E5)/E5)*E12)</f>
        <v>3185.4126315789481</v>
      </c>
      <c r="F13" s="7"/>
      <c r="G13" s="7"/>
      <c r="H13" s="7"/>
      <c r="I13" s="46">
        <v>55</v>
      </c>
      <c r="J13" t="s">
        <v>63</v>
      </c>
      <c r="K13" s="34">
        <v>734</v>
      </c>
      <c r="L13" s="35">
        <v>11.3</v>
      </c>
      <c r="M13" s="35">
        <v>2112.9</v>
      </c>
      <c r="N13" s="36">
        <v>0.9</v>
      </c>
      <c r="O13" s="36">
        <v>16.97</v>
      </c>
      <c r="P13" s="34">
        <v>1106</v>
      </c>
      <c r="Q13" s="37">
        <v>20102</v>
      </c>
      <c r="R13" t="s">
        <v>100</v>
      </c>
      <c r="S13" t="s">
        <v>101</v>
      </c>
      <c r="T13">
        <v>3</v>
      </c>
      <c r="U13" t="s">
        <v>64</v>
      </c>
      <c r="V13" t="s">
        <v>99</v>
      </c>
      <c r="W13" t="s">
        <v>102</v>
      </c>
      <c r="X13" s="39"/>
    </row>
    <row r="14" spans="1:31">
      <c r="A14" s="7"/>
      <c r="B14" s="5"/>
      <c r="C14" s="7"/>
      <c r="D14" s="7"/>
      <c r="E14" s="13"/>
      <c r="F14" s="7"/>
      <c r="G14" s="7"/>
      <c r="H14" s="7"/>
      <c r="I14" s="46">
        <v>55</v>
      </c>
      <c r="J14" t="s">
        <v>65</v>
      </c>
      <c r="K14" s="34">
        <v>734</v>
      </c>
      <c r="L14" s="35">
        <v>6</v>
      </c>
      <c r="M14" s="35">
        <v>1853.9</v>
      </c>
      <c r="N14" s="36">
        <v>0.51</v>
      </c>
      <c r="O14" s="36">
        <v>0</v>
      </c>
      <c r="P14" s="34">
        <v>738</v>
      </c>
      <c r="Q14" s="37">
        <v>20102</v>
      </c>
      <c r="R14" t="s">
        <v>100</v>
      </c>
      <c r="S14" t="s">
        <v>101</v>
      </c>
      <c r="T14">
        <v>4</v>
      </c>
      <c r="U14" t="s">
        <v>66</v>
      </c>
      <c r="V14" t="s">
        <v>99</v>
      </c>
      <c r="W14" t="s">
        <v>102</v>
      </c>
      <c r="X14" s="39"/>
    </row>
    <row r="15" spans="1:31" ht="15">
      <c r="A15" s="9" t="s">
        <v>49</v>
      </c>
      <c r="B15" s="5"/>
      <c r="C15" s="7"/>
      <c r="D15" s="7"/>
      <c r="E15" s="13"/>
      <c r="F15" s="7"/>
      <c r="G15" s="7"/>
      <c r="H15" s="7"/>
      <c r="I15" s="46"/>
      <c r="J15"/>
      <c r="K15" s="34"/>
      <c r="L15" s="35"/>
      <c r="M15" s="35"/>
      <c r="N15" s="36"/>
      <c r="O15" s="36"/>
      <c r="P15" s="34"/>
      <c r="Q15" s="37"/>
      <c r="R15"/>
      <c r="S15"/>
      <c r="T15"/>
      <c r="U15"/>
      <c r="V15"/>
      <c r="W15"/>
    </row>
    <row r="16" spans="1:31" ht="15">
      <c r="A16" s="7" t="s">
        <v>50</v>
      </c>
      <c r="B16" s="5"/>
      <c r="C16" s="7"/>
      <c r="D16" s="7"/>
      <c r="E16" s="20">
        <f>Optimization!B14</f>
        <v>28.3</v>
      </c>
      <c r="F16" s="7"/>
      <c r="G16" s="7" t="s">
        <v>55</v>
      </c>
      <c r="H16" s="7"/>
      <c r="I16" s="56" t="s">
        <v>115</v>
      </c>
      <c r="J16" s="48" t="s">
        <v>116</v>
      </c>
      <c r="K16" s="48" t="s">
        <v>117</v>
      </c>
      <c r="L16" s="47" t="s">
        <v>118</v>
      </c>
      <c r="M16" s="47" t="s">
        <v>119</v>
      </c>
      <c r="N16" s="49" t="s">
        <v>120</v>
      </c>
      <c r="O16" s="47" t="s">
        <v>121</v>
      </c>
      <c r="P16" s="50" t="s">
        <v>122</v>
      </c>
      <c r="Q16" s="47" t="s">
        <v>123</v>
      </c>
      <c r="R16" s="47" t="s">
        <v>124</v>
      </c>
      <c r="S16" s="47" t="s">
        <v>117</v>
      </c>
      <c r="T16"/>
      <c r="U16" s="47" t="s">
        <v>115</v>
      </c>
      <c r="V16" s="48" t="s">
        <v>116</v>
      </c>
      <c r="W16" s="48" t="s">
        <v>117</v>
      </c>
      <c r="X16" s="47" t="s">
        <v>118</v>
      </c>
      <c r="Y16" s="47" t="s">
        <v>119</v>
      </c>
      <c r="Z16" s="49" t="s">
        <v>120</v>
      </c>
      <c r="AA16" s="47" t="s">
        <v>121</v>
      </c>
      <c r="AB16" s="50" t="s">
        <v>122</v>
      </c>
      <c r="AC16" s="47" t="s">
        <v>123</v>
      </c>
      <c r="AD16" s="47" t="s">
        <v>124</v>
      </c>
      <c r="AE16" s="47" t="s">
        <v>117</v>
      </c>
    </row>
    <row r="17" spans="1:31">
      <c r="A17" s="5" t="s">
        <v>51</v>
      </c>
      <c r="B17" s="5"/>
      <c r="C17" s="5"/>
      <c r="D17" s="5"/>
      <c r="E17" s="7">
        <f>Optimization!B15</f>
        <v>3</v>
      </c>
      <c r="F17" s="7"/>
      <c r="G17" s="7"/>
      <c r="H17" s="7"/>
      <c r="I17" s="46">
        <v>19</v>
      </c>
      <c r="J17" s="51" t="s">
        <v>125</v>
      </c>
      <c r="K17" s="51" t="s">
        <v>140</v>
      </c>
      <c r="L17" s="51" t="s">
        <v>95</v>
      </c>
      <c r="M17" s="51"/>
      <c r="N17" s="52">
        <v>28.633333333333301</v>
      </c>
      <c r="O17" s="51">
        <v>859</v>
      </c>
      <c r="P17" s="53"/>
      <c r="Q17" s="51"/>
      <c r="R17" s="51" t="s">
        <v>125</v>
      </c>
      <c r="S17" s="51" t="s">
        <v>140</v>
      </c>
      <c r="T17"/>
      <c r="U17" s="51">
        <v>20</v>
      </c>
      <c r="V17" s="51" t="s">
        <v>140</v>
      </c>
      <c r="W17" s="51" t="s">
        <v>125</v>
      </c>
      <c r="X17" s="51" t="s">
        <v>95</v>
      </c>
      <c r="Y17" s="51"/>
      <c r="Z17" s="52">
        <v>27.933333333333302</v>
      </c>
      <c r="AA17" s="51">
        <v>838</v>
      </c>
      <c r="AB17" s="53"/>
      <c r="AC17" s="51"/>
      <c r="AD17" s="51" t="s">
        <v>140</v>
      </c>
      <c r="AE17" s="51" t="s">
        <v>125</v>
      </c>
    </row>
    <row r="18" spans="1:31">
      <c r="A18" s="7" t="s">
        <v>26</v>
      </c>
      <c r="B18" s="5"/>
      <c r="C18" s="7"/>
      <c r="D18" s="7"/>
      <c r="E18" s="14">
        <f>Optimization!B16</f>
        <v>7.0225214152348531E-2</v>
      </c>
      <c r="F18" s="7"/>
      <c r="G18" s="7" t="s">
        <v>174</v>
      </c>
      <c r="H18" s="7"/>
      <c r="I18" s="46"/>
      <c r="J18" s="51"/>
      <c r="K18" s="51"/>
      <c r="L18" s="51" t="s">
        <v>144</v>
      </c>
      <c r="M18" s="51" t="s">
        <v>145</v>
      </c>
      <c r="N18" s="52">
        <v>11.366666666666699</v>
      </c>
      <c r="O18" s="51">
        <v>341</v>
      </c>
      <c r="P18" s="53">
        <v>0.39697322467986002</v>
      </c>
      <c r="Q18" s="51" t="s">
        <v>164</v>
      </c>
      <c r="R18" s="51" t="s">
        <v>125</v>
      </c>
      <c r="S18" s="51" t="s">
        <v>140</v>
      </c>
      <c r="T18"/>
      <c r="U18" s="51"/>
      <c r="V18" s="51"/>
      <c r="W18" s="51"/>
      <c r="X18" s="51" t="s">
        <v>144</v>
      </c>
      <c r="Y18" s="51" t="s">
        <v>145</v>
      </c>
      <c r="Z18" s="52">
        <v>11.366666666666699</v>
      </c>
      <c r="AA18" s="51">
        <v>341</v>
      </c>
      <c r="AB18" s="53">
        <v>0.40692124105011901</v>
      </c>
      <c r="AC18" s="51" t="s">
        <v>164</v>
      </c>
      <c r="AD18" s="51" t="s">
        <v>140</v>
      </c>
      <c r="AE18" s="51" t="s">
        <v>125</v>
      </c>
    </row>
    <row r="19" spans="1:31">
      <c r="A19" s="7"/>
      <c r="B19" s="5"/>
      <c r="C19" s="7"/>
      <c r="D19" s="7"/>
      <c r="E19" s="14"/>
      <c r="F19" s="5"/>
      <c r="G19" s="7"/>
      <c r="H19" s="5"/>
      <c r="I19" s="46"/>
      <c r="J19" s="51"/>
      <c r="K19" s="51"/>
      <c r="L19" s="51" t="s">
        <v>127</v>
      </c>
      <c r="M19" s="51" t="s">
        <v>128</v>
      </c>
      <c r="N19" s="52">
        <v>9.56666666666667</v>
      </c>
      <c r="O19" s="51">
        <v>287</v>
      </c>
      <c r="P19" s="53">
        <v>0.33410942956926698</v>
      </c>
      <c r="Q19" s="51" t="s">
        <v>165</v>
      </c>
      <c r="R19" s="51" t="s">
        <v>125</v>
      </c>
      <c r="S19" s="51" t="s">
        <v>140</v>
      </c>
      <c r="T19"/>
      <c r="U19" s="51"/>
      <c r="V19" s="51"/>
      <c r="W19" s="51"/>
      <c r="X19" s="51" t="s">
        <v>127</v>
      </c>
      <c r="Y19" s="51" t="s">
        <v>128</v>
      </c>
      <c r="Z19" s="52">
        <v>9.56666666666667</v>
      </c>
      <c r="AA19" s="51">
        <v>287</v>
      </c>
      <c r="AB19" s="53">
        <v>0.34248210023866299</v>
      </c>
      <c r="AC19" s="51" t="s">
        <v>165</v>
      </c>
      <c r="AD19" s="51" t="s">
        <v>140</v>
      </c>
      <c r="AE19" s="51" t="s">
        <v>125</v>
      </c>
    </row>
    <row r="20" spans="1:31">
      <c r="A20" s="7" t="s">
        <v>52</v>
      </c>
      <c r="B20" s="5"/>
      <c r="C20" s="7"/>
      <c r="D20" s="7"/>
      <c r="E20" s="13">
        <f>E13*E18</f>
        <v>223.69628421622772</v>
      </c>
      <c r="F20" s="15"/>
      <c r="G20" s="5"/>
      <c r="H20" s="8"/>
      <c r="I20" s="46"/>
      <c r="J20" s="51"/>
      <c r="K20" s="51"/>
      <c r="L20" s="51" t="s">
        <v>156</v>
      </c>
      <c r="M20" s="51" t="s">
        <v>157</v>
      </c>
      <c r="N20" s="52">
        <v>6.6666666666666696</v>
      </c>
      <c r="O20" s="51">
        <v>200</v>
      </c>
      <c r="P20" s="53">
        <v>0.23282887077997699</v>
      </c>
      <c r="Q20" s="51" t="s">
        <v>158</v>
      </c>
      <c r="R20" s="51" t="s">
        <v>125</v>
      </c>
      <c r="S20" s="51" t="s">
        <v>140</v>
      </c>
      <c r="T20"/>
      <c r="U20" s="51"/>
      <c r="V20" s="51"/>
      <c r="W20" s="51"/>
      <c r="X20" s="51" t="s">
        <v>156</v>
      </c>
      <c r="Y20" s="51" t="s">
        <v>157</v>
      </c>
      <c r="Z20" s="52">
        <v>6.6666666666666696</v>
      </c>
      <c r="AA20" s="51">
        <v>200</v>
      </c>
      <c r="AB20" s="53">
        <v>0.238663484486873</v>
      </c>
      <c r="AC20" s="51" t="s">
        <v>158</v>
      </c>
      <c r="AD20" s="51" t="s">
        <v>140</v>
      </c>
      <c r="AE20" s="51" t="s">
        <v>125</v>
      </c>
    </row>
    <row r="21" spans="1:31">
      <c r="A21" s="7" t="s">
        <v>191</v>
      </c>
      <c r="B21" s="5"/>
      <c r="C21" s="7"/>
      <c r="D21" s="7"/>
      <c r="E21" s="13">
        <f>MIN($E20, H37*0.85)</f>
        <v>223.69628421622772</v>
      </c>
      <c r="F21" s="7"/>
      <c r="G21" s="7"/>
      <c r="H21" s="7"/>
      <c r="I21" s="46"/>
      <c r="J21" s="51"/>
      <c r="K21" s="51"/>
      <c r="L21" s="51" t="s">
        <v>64</v>
      </c>
      <c r="M21" s="51"/>
      <c r="N21" s="52">
        <v>1.0333333333333301</v>
      </c>
      <c r="O21" s="51">
        <v>31</v>
      </c>
      <c r="P21" s="53">
        <v>3.60884749708964E-2</v>
      </c>
      <c r="Q21" s="51"/>
      <c r="R21" s="51" t="s">
        <v>125</v>
      </c>
      <c r="S21" s="51" t="s">
        <v>140</v>
      </c>
      <c r="T21"/>
      <c r="U21" s="51"/>
      <c r="V21" s="51"/>
      <c r="W21" s="51"/>
      <c r="X21" s="51" t="s">
        <v>64</v>
      </c>
      <c r="Y21" s="51"/>
      <c r="Z21" s="52">
        <v>0.33333333333333298</v>
      </c>
      <c r="AA21" s="51">
        <v>10</v>
      </c>
      <c r="AB21" s="53">
        <v>1.1933174224343699E-2</v>
      </c>
      <c r="AC21" s="51"/>
      <c r="AD21" s="51" t="s">
        <v>140</v>
      </c>
      <c r="AE21" s="51" t="s">
        <v>125</v>
      </c>
    </row>
    <row r="22" spans="1:31">
      <c r="A22" s="5" t="s">
        <v>27</v>
      </c>
      <c r="B22" s="5"/>
      <c r="C22" s="5"/>
      <c r="D22" s="5"/>
      <c r="E22" s="5"/>
      <c r="F22" s="7"/>
      <c r="G22" s="7"/>
      <c r="H22" s="7"/>
    </row>
    <row r="23" spans="1:31">
      <c r="A23" s="7" t="s">
        <v>28</v>
      </c>
      <c r="B23" s="5"/>
      <c r="C23" s="7"/>
      <c r="D23" s="7"/>
      <c r="E23" s="16">
        <f>E20*E6</f>
        <v>27290.946674379782</v>
      </c>
      <c r="F23" s="5"/>
      <c r="G23" s="5"/>
      <c r="H23" s="5"/>
      <c r="J23" s="58"/>
    </row>
    <row r="24" spans="1:31">
      <c r="A24" s="7"/>
      <c r="B24" s="5"/>
      <c r="C24" s="7"/>
      <c r="D24" s="7"/>
      <c r="E24" s="16"/>
      <c r="F24" s="7"/>
      <c r="G24" s="5"/>
      <c r="H24" s="5"/>
    </row>
    <row r="25" spans="1:31" ht="15">
      <c r="A25" s="12" t="s">
        <v>29</v>
      </c>
      <c r="B25" s="5"/>
      <c r="C25" s="5"/>
      <c r="D25" s="5"/>
      <c r="E25" s="5"/>
      <c r="F25" s="7"/>
      <c r="G25" s="5"/>
    </row>
    <row r="26" spans="1:31">
      <c r="A26" s="7" t="s">
        <v>22</v>
      </c>
      <c r="B26" s="5"/>
      <c r="C26" s="7"/>
      <c r="D26" s="7">
        <f>E17*2</f>
        <v>6</v>
      </c>
      <c r="E26" s="7" t="s">
        <v>0</v>
      </c>
      <c r="F26" s="7"/>
      <c r="G26" s="5" t="s">
        <v>53</v>
      </c>
    </row>
    <row r="27" spans="1:31">
      <c r="A27" s="7" t="s">
        <v>57</v>
      </c>
      <c r="B27" s="5"/>
      <c r="C27" s="7"/>
      <c r="D27" s="79">
        <f>K8</f>
        <v>734</v>
      </c>
      <c r="E27" s="7"/>
      <c r="F27" s="7"/>
      <c r="G27" s="5" t="s">
        <v>39</v>
      </c>
      <c r="J27" s="59"/>
      <c r="L27" s="59"/>
    </row>
    <row r="28" spans="1:31">
      <c r="A28" s="7" t="s">
        <v>23</v>
      </c>
      <c r="B28" s="5"/>
      <c r="C28" s="7"/>
      <c r="D28" s="17">
        <f>0.67+0.002*D27</f>
        <v>2.1379999999999999</v>
      </c>
      <c r="E28" s="7"/>
      <c r="F28" s="7"/>
      <c r="G28" s="7"/>
      <c r="H28" s="7"/>
      <c r="J28" s="59"/>
      <c r="L28" s="59"/>
    </row>
    <row r="29" spans="1:31">
      <c r="A29" s="7" t="s">
        <v>30</v>
      </c>
      <c r="B29" s="5"/>
      <c r="C29" s="7"/>
      <c r="D29" s="17">
        <f>D26*D28</f>
        <v>12.827999999999999</v>
      </c>
      <c r="E29" s="7"/>
      <c r="F29" s="7"/>
      <c r="G29" s="5"/>
      <c r="J29" s="59"/>
      <c r="L29" s="59"/>
    </row>
    <row r="30" spans="1:31">
      <c r="E30" s="7"/>
      <c r="J30" s="59"/>
      <c r="L30" s="59"/>
    </row>
    <row r="31" spans="1:31">
      <c r="A31" s="2"/>
      <c r="B31" s="2"/>
      <c r="C31" s="2"/>
      <c r="D31" s="2"/>
      <c r="E31" s="2"/>
      <c r="F31" s="2"/>
      <c r="G31" s="2"/>
      <c r="H31" s="2"/>
      <c r="I31" s="63"/>
      <c r="J31" s="65"/>
      <c r="K31" s="63"/>
      <c r="L31" s="59"/>
    </row>
    <row r="32" spans="1:31">
      <c r="J32" s="59"/>
      <c r="L32" s="59"/>
    </row>
    <row r="33" spans="1:8" ht="15.75" thickBot="1">
      <c r="A33" s="21" t="s">
        <v>32</v>
      </c>
      <c r="B33" s="7"/>
      <c r="C33" s="7"/>
      <c r="D33" s="7"/>
      <c r="E33" s="7"/>
      <c r="F33" s="2"/>
      <c r="G33" s="22" t="s">
        <v>1</v>
      </c>
      <c r="H33" s="22" t="s">
        <v>179</v>
      </c>
    </row>
    <row r="34" spans="1:8" ht="15.75" thickBot="1">
      <c r="A34" s="22" t="s">
        <v>1</v>
      </c>
      <c r="B34" s="22"/>
      <c r="C34" s="22" t="s">
        <v>179</v>
      </c>
      <c r="D34" s="22"/>
      <c r="E34" s="5"/>
      <c r="F34" s="2"/>
      <c r="G34" s="7" t="s">
        <v>2</v>
      </c>
      <c r="H34" s="27">
        <f>C35</f>
        <v>70</v>
      </c>
    </row>
    <row r="35" spans="1:8">
      <c r="A35" s="7" t="s">
        <v>2</v>
      </c>
      <c r="B35" s="7"/>
      <c r="C35" s="7">
        <v>70</v>
      </c>
      <c r="D35" s="7"/>
      <c r="E35" s="5"/>
      <c r="F35" s="2"/>
      <c r="G35" s="7" t="s">
        <v>31</v>
      </c>
      <c r="H35" s="28">
        <f>E20*D27</f>
        <v>164193.07261471116</v>
      </c>
    </row>
    <row r="36" spans="1:8">
      <c r="A36" s="7"/>
      <c r="B36" s="5"/>
      <c r="C36" s="7"/>
      <c r="D36" s="7"/>
      <c r="E36" s="5"/>
      <c r="F36" s="2"/>
      <c r="G36" s="7" t="s">
        <v>36</v>
      </c>
      <c r="H36" s="29">
        <f>C35*D26*D27</f>
        <v>308280</v>
      </c>
    </row>
    <row r="37" spans="1:8">
      <c r="A37" s="23" t="s">
        <v>33</v>
      </c>
      <c r="B37" s="5"/>
      <c r="C37" s="7"/>
      <c r="D37" s="7"/>
      <c r="E37" s="5"/>
      <c r="F37" s="2"/>
      <c r="G37" s="7" t="s">
        <v>24</v>
      </c>
      <c r="H37" s="27">
        <f>$D26*C35</f>
        <v>420</v>
      </c>
    </row>
    <row r="38" spans="1:8">
      <c r="A38" s="7" t="s">
        <v>181</v>
      </c>
      <c r="B38" s="7"/>
      <c r="C38" s="7">
        <v>296</v>
      </c>
      <c r="D38" s="7" t="s">
        <v>182</v>
      </c>
      <c r="E38" s="5"/>
      <c r="F38" s="2"/>
      <c r="G38" s="7" t="s">
        <v>3</v>
      </c>
      <c r="H38" s="29">
        <f>$E20</f>
        <v>223.69628421622772</v>
      </c>
    </row>
    <row r="39" spans="1:8" ht="15">
      <c r="A39" s="7" t="s">
        <v>183</v>
      </c>
      <c r="B39" s="7"/>
      <c r="C39" s="7">
        <v>800</v>
      </c>
      <c r="D39" s="7" t="s">
        <v>182</v>
      </c>
      <c r="E39" s="5"/>
      <c r="F39" s="2"/>
      <c r="G39" s="19" t="s">
        <v>4</v>
      </c>
      <c r="H39" s="30">
        <f>H38/H37</f>
        <v>0.53261020051482788</v>
      </c>
    </row>
    <row r="40" spans="1:8">
      <c r="A40" s="7" t="s">
        <v>184</v>
      </c>
      <c r="B40" s="7"/>
      <c r="C40" s="7">
        <v>361</v>
      </c>
      <c r="D40" s="7" t="s">
        <v>182</v>
      </c>
      <c r="E40" s="5"/>
      <c r="F40" s="2"/>
      <c r="G40" s="7" t="s">
        <v>181</v>
      </c>
      <c r="H40" s="82">
        <f>C38*D29</f>
        <v>3797.0879999999997</v>
      </c>
    </row>
    <row r="41" spans="1:8">
      <c r="A41" s="1" t="s">
        <v>185</v>
      </c>
      <c r="C41" s="1">
        <v>8</v>
      </c>
      <c r="D41" s="7" t="s">
        <v>182</v>
      </c>
      <c r="E41" s="7"/>
      <c r="F41" s="2"/>
      <c r="G41" s="7" t="s">
        <v>183</v>
      </c>
      <c r="H41" s="82">
        <f>C39*D29</f>
        <v>10262.4</v>
      </c>
    </row>
    <row r="42" spans="1:8">
      <c r="A42" s="1" t="s">
        <v>186</v>
      </c>
      <c r="C42" s="1">
        <v>14</v>
      </c>
      <c r="D42" s="7" t="s">
        <v>182</v>
      </c>
      <c r="E42" s="7"/>
      <c r="F42" s="2"/>
      <c r="G42" s="7" t="s">
        <v>184</v>
      </c>
      <c r="H42" s="82">
        <f>C40*D29</f>
        <v>4630.9079999999994</v>
      </c>
    </row>
    <row r="43" spans="1:8">
      <c r="A43" s="1" t="s">
        <v>187</v>
      </c>
      <c r="C43" s="1">
        <v>318</v>
      </c>
      <c r="D43" s="7" t="s">
        <v>182</v>
      </c>
      <c r="E43" s="7"/>
      <c r="F43" s="2"/>
      <c r="G43" s="1" t="s">
        <v>185</v>
      </c>
      <c r="H43" s="82">
        <f>C41*D29</f>
        <v>102.624</v>
      </c>
    </row>
    <row r="44" spans="1:8">
      <c r="A44" s="1" t="s">
        <v>188</v>
      </c>
      <c r="C44" s="1">
        <v>30</v>
      </c>
      <c r="D44" s="7" t="s">
        <v>182</v>
      </c>
      <c r="E44" s="7"/>
      <c r="F44" s="2"/>
      <c r="G44" s="1" t="s">
        <v>186</v>
      </c>
      <c r="H44" s="82">
        <f>C42*D29</f>
        <v>179.59199999999998</v>
      </c>
    </row>
    <row r="45" spans="1:8">
      <c r="A45" s="1" t="s">
        <v>64</v>
      </c>
      <c r="C45" s="1">
        <v>19</v>
      </c>
      <c r="D45" s="7" t="s">
        <v>182</v>
      </c>
      <c r="E45" s="7"/>
      <c r="F45" s="2"/>
      <c r="G45" s="1" t="s">
        <v>187</v>
      </c>
      <c r="H45" s="82">
        <f>C43*D29</f>
        <v>4079.3039999999996</v>
      </c>
    </row>
    <row r="46" spans="1:8" ht="15">
      <c r="A46" s="10" t="s">
        <v>189</v>
      </c>
      <c r="C46" s="1">
        <f>SUM(C38:C45)</f>
        <v>1846</v>
      </c>
      <c r="D46" s="7" t="s">
        <v>182</v>
      </c>
      <c r="E46" s="7"/>
      <c r="G46" s="1" t="s">
        <v>188</v>
      </c>
      <c r="H46" s="82">
        <f>C44*D29</f>
        <v>384.84</v>
      </c>
    </row>
    <row r="47" spans="1:8">
      <c r="D47" s="2"/>
      <c r="G47" s="1" t="s">
        <v>64</v>
      </c>
      <c r="H47" s="82">
        <f>C45*D29</f>
        <v>243.732</v>
      </c>
    </row>
    <row r="48" spans="1:8">
      <c r="A48" s="23" t="s">
        <v>6</v>
      </c>
      <c r="B48" s="7"/>
      <c r="C48" s="7"/>
      <c r="G48" s="7" t="s">
        <v>37</v>
      </c>
      <c r="H48" s="29">
        <f>C46*$D26*$D28</f>
        <v>23680.487999999998</v>
      </c>
    </row>
    <row r="49" spans="1:8">
      <c r="A49" s="7" t="s">
        <v>10</v>
      </c>
      <c r="B49" s="24">
        <v>0.01</v>
      </c>
      <c r="C49" s="7" t="s">
        <v>11</v>
      </c>
      <c r="G49" s="7" t="s">
        <v>5</v>
      </c>
      <c r="H49" s="29">
        <f>$B49*H35</f>
        <v>1641.9307261471115</v>
      </c>
    </row>
    <row r="50" spans="1:8">
      <c r="A50" s="7" t="s">
        <v>13</v>
      </c>
      <c r="B50" s="25">
        <v>10</v>
      </c>
      <c r="C50" s="7" t="s">
        <v>14</v>
      </c>
      <c r="G50" s="7" t="s">
        <v>7</v>
      </c>
      <c r="H50" s="29">
        <f>$B50*H38</f>
        <v>2236.9628421622774</v>
      </c>
    </row>
    <row r="51" spans="1:8">
      <c r="A51" s="7" t="s">
        <v>15</v>
      </c>
      <c r="B51" s="25">
        <v>750</v>
      </c>
      <c r="C51" s="7" t="s">
        <v>16</v>
      </c>
      <c r="G51" s="7" t="s">
        <v>8</v>
      </c>
      <c r="H51" s="29">
        <f>$B51*$D26</f>
        <v>4500</v>
      </c>
    </row>
    <row r="52" spans="1:8">
      <c r="A52" s="7" t="s">
        <v>17</v>
      </c>
      <c r="B52" s="14">
        <v>0.09</v>
      </c>
      <c r="C52" s="7" t="s">
        <v>18</v>
      </c>
      <c r="G52" s="7" t="s">
        <v>9</v>
      </c>
      <c r="H52" s="29">
        <f>$B52*$E23</f>
        <v>2456.1852006941804</v>
      </c>
    </row>
    <row r="53" spans="1:8">
      <c r="A53" s="7" t="s">
        <v>19</v>
      </c>
      <c r="B53" s="26">
        <v>2E-3</v>
      </c>
      <c r="C53" s="7" t="s">
        <v>20</v>
      </c>
      <c r="G53" s="7" t="s">
        <v>12</v>
      </c>
      <c r="H53" s="29">
        <f>$B53*H36</f>
        <v>616.56000000000006</v>
      </c>
    </row>
    <row r="54" spans="1:8" ht="15">
      <c r="G54" s="19" t="s">
        <v>34</v>
      </c>
      <c r="H54" s="31">
        <f>SUM(H48:H53)</f>
        <v>35132.12676900356</v>
      </c>
    </row>
    <row r="55" spans="1:8" ht="15">
      <c r="G55" s="4" t="s">
        <v>35</v>
      </c>
      <c r="H55" s="32">
        <f>H54/H36</f>
        <v>0.11396174506618516</v>
      </c>
    </row>
    <row r="56" spans="1:8" ht="15">
      <c r="G56" s="10" t="s">
        <v>71</v>
      </c>
      <c r="H56" s="91">
        <f>E23</f>
        <v>27290.946674379782</v>
      </c>
    </row>
    <row r="57" spans="1:8" ht="15">
      <c r="G57" s="19" t="s">
        <v>21</v>
      </c>
      <c r="H57" s="31">
        <f>H56-H54</f>
        <v>-7841.1800946237781</v>
      </c>
    </row>
    <row r="58" spans="1:8" ht="15">
      <c r="G58" s="4" t="s">
        <v>25</v>
      </c>
      <c r="H58" s="83">
        <f>H57/H56</f>
        <v>-0.28731799553091092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opLeftCell="A11" zoomScale="85" zoomScaleNormal="85" workbookViewId="0">
      <selection activeCell="H33" sqref="H33:H58"/>
    </sheetView>
  </sheetViews>
  <sheetFormatPr defaultRowHeight="14.25"/>
  <cols>
    <col min="1" max="1" width="29" style="1" customWidth="1"/>
    <col min="2" max="3" width="9.140625" style="1"/>
    <col min="4" max="4" width="11.5703125" style="1" bestFit="1" customWidth="1"/>
    <col min="5" max="5" width="11" style="1" bestFit="1" customWidth="1"/>
    <col min="6" max="6" width="9.140625" style="1"/>
    <col min="7" max="7" width="23.7109375" style="1" bestFit="1" customWidth="1"/>
    <col min="8" max="8" width="12.7109375" style="1" customWidth="1"/>
    <col min="9" max="9" width="12.7109375" style="45" customWidth="1"/>
    <col min="10" max="10" width="12.7109375" style="1" customWidth="1"/>
    <col min="11" max="11" width="10.28515625" style="1" bestFit="1" customWidth="1"/>
    <col min="12" max="16384" width="9.140625" style="1"/>
  </cols>
  <sheetData>
    <row r="1" spans="1:31" ht="15">
      <c r="A1" s="3" t="s">
        <v>40</v>
      </c>
      <c r="C1" s="2"/>
      <c r="D1" s="2"/>
      <c r="E1" s="2"/>
      <c r="F1" s="2"/>
      <c r="G1" s="2"/>
      <c r="H1" s="2"/>
      <c r="I1" s="44"/>
    </row>
    <row r="3" spans="1:31" ht="15">
      <c r="A3" s="10" t="s">
        <v>109</v>
      </c>
      <c r="G3" s="33" t="s">
        <v>56</v>
      </c>
    </row>
    <row r="4" spans="1:31" ht="15">
      <c r="A4" s="10"/>
      <c r="I4" s="46" t="s">
        <v>67</v>
      </c>
      <c r="J4" t="s">
        <v>68</v>
      </c>
      <c r="K4" s="34" t="s">
        <v>69</v>
      </c>
      <c r="L4" s="35" t="s">
        <v>70</v>
      </c>
      <c r="M4" s="35" t="s">
        <v>71</v>
      </c>
      <c r="N4" s="36" t="s">
        <v>72</v>
      </c>
      <c r="O4" s="36"/>
      <c r="P4" s="34"/>
      <c r="Q4" s="37"/>
      <c r="R4"/>
      <c r="S4"/>
      <c r="T4"/>
      <c r="U4"/>
      <c r="V4"/>
      <c r="W4"/>
      <c r="X4" s="39"/>
    </row>
    <row r="5" spans="1:31" ht="15">
      <c r="A5" s="10" t="s">
        <v>41</v>
      </c>
      <c r="E5" s="11">
        <f>M8/L8</f>
        <v>191.21492301050512</v>
      </c>
      <c r="G5" s="1" t="s">
        <v>94</v>
      </c>
      <c r="I5" s="46" t="s">
        <v>73</v>
      </c>
      <c r="J5" t="s">
        <v>74</v>
      </c>
      <c r="K5" s="34" t="s">
        <v>75</v>
      </c>
      <c r="L5" s="35" t="s">
        <v>76</v>
      </c>
      <c r="M5" s="35" t="s">
        <v>77</v>
      </c>
      <c r="N5" s="36" t="s">
        <v>78</v>
      </c>
      <c r="O5" s="36" t="s">
        <v>79</v>
      </c>
      <c r="P5" s="34" t="s">
        <v>79</v>
      </c>
      <c r="Q5" s="37"/>
      <c r="R5"/>
      <c r="S5"/>
      <c r="T5"/>
      <c r="U5"/>
      <c r="V5"/>
      <c r="W5"/>
      <c r="X5" s="39"/>
    </row>
    <row r="6" spans="1:31" ht="15">
      <c r="A6" s="4" t="s">
        <v>42</v>
      </c>
      <c r="B6" s="5"/>
      <c r="C6" s="5"/>
      <c r="D6" s="5"/>
      <c r="E6" s="38">
        <f>Optimization!C4</f>
        <v>153</v>
      </c>
      <c r="F6" s="5"/>
      <c r="G6" s="5"/>
      <c r="I6" s="46" t="s">
        <v>80</v>
      </c>
      <c r="J6" t="s">
        <v>81</v>
      </c>
      <c r="K6" s="34" t="s">
        <v>82</v>
      </c>
      <c r="L6" s="35" t="s">
        <v>83</v>
      </c>
      <c r="M6" s="35" t="s">
        <v>84</v>
      </c>
      <c r="N6" s="36" t="s">
        <v>85</v>
      </c>
      <c r="O6" s="36" t="s">
        <v>86</v>
      </c>
      <c r="P6" s="34" t="s">
        <v>87</v>
      </c>
      <c r="Q6" s="37" t="s">
        <v>88</v>
      </c>
      <c r="R6" t="s">
        <v>89</v>
      </c>
      <c r="S6" t="s">
        <v>90</v>
      </c>
      <c r="T6" t="s">
        <v>91</v>
      </c>
      <c r="U6" t="s">
        <v>92</v>
      </c>
      <c r="V6" t="s">
        <v>89</v>
      </c>
      <c r="W6" t="s">
        <v>90</v>
      </c>
      <c r="X6" s="39"/>
    </row>
    <row r="7" spans="1:31">
      <c r="A7" s="5"/>
      <c r="B7" s="5"/>
      <c r="C7" s="5"/>
      <c r="D7" s="5"/>
      <c r="E7" s="5"/>
      <c r="F7" s="5"/>
      <c r="G7" s="5"/>
      <c r="I7" s="46"/>
      <c r="J7"/>
      <c r="K7"/>
      <c r="L7"/>
      <c r="M7"/>
      <c r="N7"/>
      <c r="O7"/>
      <c r="P7"/>
      <c r="Q7"/>
      <c r="R7"/>
      <c r="S7"/>
      <c r="T7"/>
      <c r="U7"/>
      <c r="V7"/>
      <c r="W7"/>
      <c r="X7" s="39"/>
    </row>
    <row r="8" spans="1:31" ht="15">
      <c r="A8" s="4"/>
      <c r="B8" s="5"/>
      <c r="C8" s="5"/>
      <c r="D8" s="5"/>
      <c r="E8" s="6"/>
      <c r="F8" s="5"/>
      <c r="G8" s="5"/>
      <c r="I8" s="46">
        <v>39</v>
      </c>
      <c r="J8" t="s">
        <v>110</v>
      </c>
      <c r="K8" s="34">
        <v>805</v>
      </c>
      <c r="L8" s="35">
        <v>1389.8</v>
      </c>
      <c r="M8" s="35">
        <v>265750.5</v>
      </c>
      <c r="N8" s="36">
        <v>100</v>
      </c>
      <c r="O8" s="36">
        <v>22.95</v>
      </c>
      <c r="P8" s="34">
        <v>833</v>
      </c>
      <c r="Q8" s="37">
        <v>20102</v>
      </c>
      <c r="R8" t="s">
        <v>111</v>
      </c>
      <c r="S8" t="s">
        <v>101</v>
      </c>
      <c r="T8">
        <v>1</v>
      </c>
      <c r="U8" t="s">
        <v>58</v>
      </c>
      <c r="V8" t="s">
        <v>110</v>
      </c>
      <c r="W8" t="s">
        <v>102</v>
      </c>
      <c r="X8"/>
    </row>
    <row r="9" spans="1:31" ht="15">
      <c r="A9" s="12" t="s">
        <v>48</v>
      </c>
      <c r="B9" s="5"/>
      <c r="C9" s="5"/>
      <c r="D9" s="5"/>
      <c r="E9" s="6"/>
      <c r="F9" s="7"/>
      <c r="G9" s="9"/>
      <c r="H9" s="7"/>
      <c r="I9" s="46"/>
      <c r="J9" t="s">
        <v>102</v>
      </c>
      <c r="K9" s="34"/>
      <c r="L9" s="35"/>
      <c r="M9" s="35"/>
      <c r="N9" s="36"/>
      <c r="O9" s="36"/>
      <c r="P9" s="34"/>
      <c r="Q9" s="37"/>
      <c r="R9"/>
      <c r="S9"/>
      <c r="T9"/>
      <c r="U9"/>
      <c r="V9"/>
      <c r="W9"/>
      <c r="X9" s="39"/>
    </row>
    <row r="10" spans="1:31">
      <c r="A10" s="7" t="s">
        <v>43</v>
      </c>
      <c r="B10" s="5"/>
      <c r="C10" s="7"/>
      <c r="D10" s="7"/>
      <c r="E10" s="13">
        <f>Optimization!C8</f>
        <v>2779.6</v>
      </c>
      <c r="F10" s="7"/>
      <c r="G10" s="7" t="s">
        <v>53</v>
      </c>
      <c r="H10" s="7"/>
      <c r="I10" s="46">
        <v>39</v>
      </c>
      <c r="J10" t="s">
        <v>105</v>
      </c>
      <c r="K10" s="34">
        <v>805</v>
      </c>
      <c r="L10" s="35">
        <v>943.6</v>
      </c>
      <c r="M10" s="35">
        <v>188113.9</v>
      </c>
      <c r="N10" s="36">
        <v>67.89</v>
      </c>
      <c r="O10" s="36">
        <v>24.37</v>
      </c>
      <c r="P10" s="34">
        <v>818</v>
      </c>
      <c r="Q10" s="37">
        <v>20102</v>
      </c>
      <c r="R10" t="s">
        <v>111</v>
      </c>
      <c r="S10" t="s">
        <v>101</v>
      </c>
      <c r="T10">
        <v>2</v>
      </c>
      <c r="U10" t="s">
        <v>106</v>
      </c>
      <c r="V10" t="s">
        <v>110</v>
      </c>
      <c r="W10" t="s">
        <v>102</v>
      </c>
      <c r="X10" s="39"/>
    </row>
    <row r="11" spans="1:31">
      <c r="A11" s="7" t="s">
        <v>46</v>
      </c>
      <c r="B11" s="5"/>
      <c r="C11" s="7"/>
      <c r="D11" s="7"/>
      <c r="E11" s="13">
        <f>Optimization!C9</f>
        <v>2918.58</v>
      </c>
      <c r="F11" s="7"/>
      <c r="G11" s="7" t="s">
        <v>44</v>
      </c>
      <c r="H11" s="7"/>
      <c r="I11" s="46">
        <v>39</v>
      </c>
      <c r="J11" t="s">
        <v>61</v>
      </c>
      <c r="K11" s="34">
        <v>805</v>
      </c>
      <c r="L11" s="35">
        <v>236.1</v>
      </c>
      <c r="M11" s="35">
        <v>43504.2</v>
      </c>
      <c r="N11" s="36">
        <v>16.989999999999998</v>
      </c>
      <c r="O11" s="36">
        <v>22.92</v>
      </c>
      <c r="P11" s="34">
        <v>804</v>
      </c>
      <c r="Q11" s="37">
        <v>20102</v>
      </c>
      <c r="R11" t="s">
        <v>111</v>
      </c>
      <c r="S11" t="s">
        <v>101</v>
      </c>
      <c r="T11">
        <v>2</v>
      </c>
      <c r="U11" t="s">
        <v>62</v>
      </c>
      <c r="V11" t="s">
        <v>110</v>
      </c>
      <c r="W11" t="s">
        <v>102</v>
      </c>
      <c r="X11" s="39"/>
    </row>
    <row r="12" spans="1:31">
      <c r="A12" s="7" t="s">
        <v>45</v>
      </c>
      <c r="B12" s="5"/>
      <c r="C12" s="7"/>
      <c r="D12" s="7"/>
      <c r="E12" s="18">
        <f>Optimization!C10</f>
        <v>-1.2</v>
      </c>
      <c r="F12" s="7"/>
      <c r="G12" s="7" t="s">
        <v>54</v>
      </c>
      <c r="H12" s="7"/>
      <c r="I12" s="46">
        <v>39</v>
      </c>
      <c r="J12" t="s">
        <v>59</v>
      </c>
      <c r="K12" s="34">
        <v>805</v>
      </c>
      <c r="L12" s="35">
        <v>154.5</v>
      </c>
      <c r="M12" s="35">
        <v>25731.3</v>
      </c>
      <c r="N12" s="36">
        <v>11.11</v>
      </c>
      <c r="O12" s="36">
        <v>19.98</v>
      </c>
      <c r="P12" s="34">
        <v>834</v>
      </c>
      <c r="Q12" s="37">
        <v>20102</v>
      </c>
      <c r="R12" t="s">
        <v>111</v>
      </c>
      <c r="S12" t="s">
        <v>101</v>
      </c>
      <c r="T12">
        <v>2</v>
      </c>
      <c r="U12" t="s">
        <v>60</v>
      </c>
      <c r="V12" t="s">
        <v>110</v>
      </c>
      <c r="W12" t="s">
        <v>102</v>
      </c>
      <c r="X12" s="39"/>
    </row>
    <row r="13" spans="1:31">
      <c r="A13" s="7" t="s">
        <v>47</v>
      </c>
      <c r="B13" s="5"/>
      <c r="C13" s="7"/>
      <c r="D13" s="7"/>
      <c r="E13" s="13">
        <f>E11*(1+((E6-E5)/E5)*E12)</f>
        <v>3618.5252233790716</v>
      </c>
      <c r="F13" s="7"/>
      <c r="G13" s="7"/>
      <c r="H13" s="7"/>
      <c r="I13" s="46">
        <v>39</v>
      </c>
      <c r="J13" t="s">
        <v>63</v>
      </c>
      <c r="K13" s="34">
        <v>805</v>
      </c>
      <c r="L13" s="35">
        <v>50.2</v>
      </c>
      <c r="M13" s="35">
        <v>6752.4</v>
      </c>
      <c r="N13" s="36">
        <v>3.61</v>
      </c>
      <c r="O13" s="36">
        <v>11.07</v>
      </c>
      <c r="P13" s="34">
        <v>1215</v>
      </c>
      <c r="Q13" s="37">
        <v>20102</v>
      </c>
      <c r="R13" t="s">
        <v>111</v>
      </c>
      <c r="S13" t="s">
        <v>101</v>
      </c>
      <c r="T13">
        <v>3</v>
      </c>
      <c r="U13" t="s">
        <v>64</v>
      </c>
      <c r="V13" t="s">
        <v>110</v>
      </c>
      <c r="W13" t="s">
        <v>102</v>
      </c>
      <c r="X13" s="39"/>
    </row>
    <row r="14" spans="1:31">
      <c r="A14" s="7"/>
      <c r="B14" s="5"/>
      <c r="C14" s="7"/>
      <c r="D14" s="7"/>
      <c r="E14" s="13"/>
      <c r="F14" s="7"/>
      <c r="G14" s="7"/>
      <c r="H14" s="7"/>
      <c r="I14" s="46">
        <v>39</v>
      </c>
      <c r="J14" t="s">
        <v>65</v>
      </c>
      <c r="K14" s="34">
        <v>805</v>
      </c>
      <c r="L14" s="35">
        <v>5.5</v>
      </c>
      <c r="M14" s="35">
        <v>1648.7</v>
      </c>
      <c r="N14" s="36">
        <v>0.4</v>
      </c>
      <c r="O14" s="36">
        <v>0</v>
      </c>
      <c r="P14" s="34">
        <v>833</v>
      </c>
      <c r="Q14" s="37">
        <v>20102</v>
      </c>
      <c r="R14" t="s">
        <v>111</v>
      </c>
      <c r="S14" t="s">
        <v>101</v>
      </c>
      <c r="T14">
        <v>4</v>
      </c>
      <c r="U14" t="s">
        <v>66</v>
      </c>
      <c r="V14" t="s">
        <v>110</v>
      </c>
      <c r="W14" t="s">
        <v>102</v>
      </c>
      <c r="X14" s="39"/>
    </row>
    <row r="15" spans="1:31" ht="15">
      <c r="A15" s="9" t="s">
        <v>49</v>
      </c>
      <c r="B15" s="5"/>
      <c r="C15" s="7"/>
      <c r="D15" s="7"/>
      <c r="E15" s="13"/>
      <c r="F15" s="7"/>
      <c r="G15" s="7"/>
      <c r="H15" s="7"/>
      <c r="I15" s="46"/>
      <c r="J15"/>
      <c r="K15" s="34"/>
      <c r="L15" s="35"/>
      <c r="M15" s="35"/>
      <c r="N15" s="36"/>
      <c r="O15" s="36"/>
      <c r="P15" s="34"/>
      <c r="Q15" s="37"/>
      <c r="R15"/>
      <c r="S15"/>
      <c r="T15"/>
      <c r="U15"/>
      <c r="V15"/>
      <c r="W15"/>
    </row>
    <row r="16" spans="1:31" ht="15">
      <c r="A16" s="7" t="s">
        <v>50</v>
      </c>
      <c r="B16" s="5"/>
      <c r="C16" s="7"/>
      <c r="D16" s="7"/>
      <c r="E16" s="20">
        <f>Optimization!C14</f>
        <v>23</v>
      </c>
      <c r="F16" s="7"/>
      <c r="G16" s="7" t="s">
        <v>55</v>
      </c>
      <c r="H16" s="7"/>
      <c r="I16" s="47" t="s">
        <v>115</v>
      </c>
      <c r="J16" s="48" t="s">
        <v>116</v>
      </c>
      <c r="K16" s="48" t="s">
        <v>117</v>
      </c>
      <c r="L16" s="47" t="s">
        <v>118</v>
      </c>
      <c r="M16" s="47" t="s">
        <v>119</v>
      </c>
      <c r="N16" s="49" t="s">
        <v>120</v>
      </c>
      <c r="O16" s="47" t="s">
        <v>121</v>
      </c>
      <c r="P16" s="50" t="s">
        <v>122</v>
      </c>
      <c r="Q16" s="47" t="s">
        <v>123</v>
      </c>
      <c r="R16" s="47" t="s">
        <v>124</v>
      </c>
      <c r="S16" s="47" t="s">
        <v>117</v>
      </c>
      <c r="T16"/>
      <c r="U16" s="47" t="s">
        <v>115</v>
      </c>
      <c r="V16" s="48" t="s">
        <v>116</v>
      </c>
      <c r="W16" s="48" t="s">
        <v>117</v>
      </c>
      <c r="X16" s="47" t="s">
        <v>118</v>
      </c>
      <c r="Y16" s="47" t="s">
        <v>119</v>
      </c>
      <c r="Z16" s="49" t="s">
        <v>120</v>
      </c>
      <c r="AA16" s="47" t="s">
        <v>121</v>
      </c>
      <c r="AB16" s="50" t="s">
        <v>122</v>
      </c>
      <c r="AC16" s="47" t="s">
        <v>123</v>
      </c>
      <c r="AD16" s="47" t="s">
        <v>124</v>
      </c>
      <c r="AE16" s="47" t="s">
        <v>117</v>
      </c>
    </row>
    <row r="17" spans="1:31">
      <c r="A17" s="5" t="s">
        <v>51</v>
      </c>
      <c r="B17" s="5"/>
      <c r="C17" s="5"/>
      <c r="D17" s="5"/>
      <c r="E17" s="7">
        <f>Optimization!C15</f>
        <v>5</v>
      </c>
      <c r="F17" s="7"/>
      <c r="G17" s="7"/>
      <c r="H17" s="7"/>
      <c r="I17" s="51">
        <v>50</v>
      </c>
      <c r="J17" s="51" t="s">
        <v>125</v>
      </c>
      <c r="K17" s="51" t="s">
        <v>126</v>
      </c>
      <c r="L17" s="51" t="s">
        <v>95</v>
      </c>
      <c r="M17" s="51"/>
      <c r="N17" s="52">
        <v>23.366666666666699</v>
      </c>
      <c r="O17" s="51">
        <v>701</v>
      </c>
      <c r="P17" s="53"/>
      <c r="Q17" s="51"/>
      <c r="R17" s="51" t="s">
        <v>125</v>
      </c>
      <c r="S17" s="51" t="s">
        <v>126</v>
      </c>
      <c r="T17"/>
      <c r="U17" s="51">
        <v>61</v>
      </c>
      <c r="V17" s="51" t="s">
        <v>126</v>
      </c>
      <c r="W17" s="51" t="s">
        <v>125</v>
      </c>
      <c r="X17" s="51" t="s">
        <v>95</v>
      </c>
      <c r="Y17" s="51"/>
      <c r="Z17" s="52">
        <v>22.3333333333333</v>
      </c>
      <c r="AA17" s="51">
        <v>670</v>
      </c>
      <c r="AB17" s="53"/>
      <c r="AC17" s="51"/>
      <c r="AD17" s="51" t="s">
        <v>126</v>
      </c>
      <c r="AE17" s="51" t="s">
        <v>125</v>
      </c>
    </row>
    <row r="18" spans="1:31">
      <c r="A18" s="7" t="s">
        <v>26</v>
      </c>
      <c r="B18" s="5"/>
      <c r="C18" s="7"/>
      <c r="D18" s="7"/>
      <c r="E18" s="14">
        <f>Optimization!C16</f>
        <v>0.10968095630533188</v>
      </c>
      <c r="F18" s="7"/>
      <c r="G18" s="7" t="s">
        <v>38</v>
      </c>
      <c r="H18" s="7"/>
      <c r="I18" s="51"/>
      <c r="J18" s="51"/>
      <c r="K18" s="51"/>
      <c r="L18" s="51" t="s">
        <v>127</v>
      </c>
      <c r="M18" s="51" t="s">
        <v>128</v>
      </c>
      <c r="N18" s="52">
        <v>15.766666666666699</v>
      </c>
      <c r="O18" s="51">
        <v>473</v>
      </c>
      <c r="P18" s="53">
        <v>0.67475035663338101</v>
      </c>
      <c r="Q18" s="51" t="s">
        <v>129</v>
      </c>
      <c r="R18" s="51" t="s">
        <v>125</v>
      </c>
      <c r="S18" s="51" t="s">
        <v>126</v>
      </c>
      <c r="T18"/>
      <c r="U18" s="51"/>
      <c r="V18" s="51"/>
      <c r="W18" s="51"/>
      <c r="X18" s="51" t="s">
        <v>127</v>
      </c>
      <c r="Y18" s="51" t="s">
        <v>128</v>
      </c>
      <c r="Z18" s="52">
        <v>15.866666666666699</v>
      </c>
      <c r="AA18" s="51">
        <v>476</v>
      </c>
      <c r="AB18" s="53">
        <v>0.71044776119402997</v>
      </c>
      <c r="AC18" s="51" t="s">
        <v>130</v>
      </c>
      <c r="AD18" s="51" t="s">
        <v>126</v>
      </c>
      <c r="AE18" s="51" t="s">
        <v>125</v>
      </c>
    </row>
    <row r="19" spans="1:31">
      <c r="A19" s="7"/>
      <c r="B19" s="5"/>
      <c r="C19" s="7"/>
      <c r="D19" s="7"/>
      <c r="E19" s="14"/>
      <c r="F19" s="5"/>
      <c r="G19" s="7"/>
      <c r="H19" s="5"/>
      <c r="I19" s="51"/>
      <c r="J19" s="51"/>
      <c r="K19" s="51"/>
      <c r="L19" s="51" t="s">
        <v>96</v>
      </c>
      <c r="M19" s="51" t="s">
        <v>97</v>
      </c>
      <c r="N19" s="52">
        <v>4.2</v>
      </c>
      <c r="O19" s="51">
        <v>126</v>
      </c>
      <c r="P19" s="53">
        <v>0.179743223965763</v>
      </c>
      <c r="Q19" s="51" t="s">
        <v>131</v>
      </c>
      <c r="R19" s="51" t="s">
        <v>125</v>
      </c>
      <c r="S19" s="51" t="s">
        <v>126</v>
      </c>
      <c r="T19"/>
      <c r="U19" s="51"/>
      <c r="V19" s="51"/>
      <c r="W19" s="51"/>
      <c r="X19" s="51" t="s">
        <v>96</v>
      </c>
      <c r="Y19" s="51" t="s">
        <v>97</v>
      </c>
      <c r="Z19" s="52">
        <v>3.6333333333333302</v>
      </c>
      <c r="AA19" s="51">
        <v>109</v>
      </c>
      <c r="AB19" s="53">
        <v>0.16268656716417901</v>
      </c>
      <c r="AC19" s="51" t="s">
        <v>132</v>
      </c>
      <c r="AD19" s="51" t="s">
        <v>126</v>
      </c>
      <c r="AE19" s="51" t="s">
        <v>125</v>
      </c>
    </row>
    <row r="20" spans="1:31">
      <c r="A20" s="7" t="s">
        <v>52</v>
      </c>
      <c r="B20" s="5"/>
      <c r="C20" s="7"/>
      <c r="D20" s="7"/>
      <c r="E20" s="13">
        <f>E13*E18</f>
        <v>396.88330691518121</v>
      </c>
      <c r="F20" s="15"/>
      <c r="G20" s="5"/>
      <c r="H20" s="8"/>
      <c r="I20" s="51"/>
      <c r="J20" s="51"/>
      <c r="K20" s="51"/>
      <c r="L20" s="51" t="s">
        <v>133</v>
      </c>
      <c r="M20" s="51" t="s">
        <v>134</v>
      </c>
      <c r="N20" s="52">
        <v>1.3333333333333299</v>
      </c>
      <c r="O20" s="51">
        <v>40</v>
      </c>
      <c r="P20" s="53">
        <v>5.70613409415121E-2</v>
      </c>
      <c r="Q20" s="51" t="s">
        <v>135</v>
      </c>
      <c r="R20" s="51" t="s">
        <v>125</v>
      </c>
      <c r="S20" s="51" t="s">
        <v>126</v>
      </c>
      <c r="T20"/>
      <c r="U20" s="51"/>
      <c r="V20" s="51"/>
      <c r="W20" s="51"/>
      <c r="X20" s="51" t="s">
        <v>136</v>
      </c>
      <c r="Y20" s="51" t="s">
        <v>137</v>
      </c>
      <c r="Z20" s="52">
        <v>1.86666666666667</v>
      </c>
      <c r="AA20" s="51">
        <v>56</v>
      </c>
      <c r="AB20" s="53">
        <v>8.3582089552238795E-2</v>
      </c>
      <c r="AC20" s="51" t="s">
        <v>138</v>
      </c>
      <c r="AD20" s="51" t="s">
        <v>126</v>
      </c>
      <c r="AE20" s="51" t="s">
        <v>125</v>
      </c>
    </row>
    <row r="21" spans="1:31">
      <c r="A21" s="7" t="s">
        <v>191</v>
      </c>
      <c r="B21" s="5"/>
      <c r="C21" s="7"/>
      <c r="D21" s="7"/>
      <c r="E21" s="13">
        <f>MIN($E20, H37*0.85)</f>
        <v>396.88330691518121</v>
      </c>
      <c r="F21" s="7"/>
      <c r="G21" s="7"/>
      <c r="H21" s="7"/>
      <c r="I21" s="51"/>
      <c r="J21" s="51"/>
      <c r="K21" s="51"/>
      <c r="L21" s="51" t="s">
        <v>64</v>
      </c>
      <c r="M21" s="51"/>
      <c r="N21" s="52">
        <v>2.0666666666666602</v>
      </c>
      <c r="O21" s="51">
        <v>62</v>
      </c>
      <c r="P21" s="53">
        <v>8.8445078459343796E-2</v>
      </c>
      <c r="Q21" s="51"/>
      <c r="R21" s="51" t="s">
        <v>125</v>
      </c>
      <c r="S21" s="51" t="s">
        <v>126</v>
      </c>
      <c r="T21"/>
      <c r="U21" s="51"/>
      <c r="V21" s="51"/>
      <c r="W21" s="51"/>
      <c r="X21" s="51" t="s">
        <v>64</v>
      </c>
      <c r="Y21" s="51"/>
      <c r="Z21" s="52">
        <v>0.96666666666666601</v>
      </c>
      <c r="AA21" s="51">
        <v>29</v>
      </c>
      <c r="AB21" s="53">
        <v>4.32835820895522E-2</v>
      </c>
      <c r="AC21" s="51"/>
      <c r="AD21" s="51" t="s">
        <v>126</v>
      </c>
      <c r="AE21" s="51" t="s">
        <v>125</v>
      </c>
    </row>
    <row r="22" spans="1:31">
      <c r="A22" s="5" t="s">
        <v>27</v>
      </c>
      <c r="B22" s="5"/>
      <c r="C22" s="5"/>
      <c r="D22" s="5"/>
      <c r="E22" s="5"/>
      <c r="F22" s="7"/>
      <c r="G22" s="7"/>
      <c r="H22" s="7"/>
    </row>
    <row r="23" spans="1:31">
      <c r="A23" s="7" t="s">
        <v>28</v>
      </c>
      <c r="B23" s="5"/>
      <c r="C23" s="7"/>
      <c r="D23" s="7"/>
      <c r="E23" s="16">
        <f>E20*E6</f>
        <v>60723.145958022724</v>
      </c>
      <c r="F23" s="5"/>
      <c r="G23" s="5"/>
      <c r="H23" s="5"/>
    </row>
    <row r="24" spans="1:31">
      <c r="A24" s="7"/>
      <c r="B24" s="5"/>
      <c r="C24" s="7"/>
      <c r="D24" s="7"/>
      <c r="E24" s="16"/>
      <c r="F24" s="7"/>
      <c r="G24" s="5"/>
      <c r="H24" s="5"/>
    </row>
    <row r="25" spans="1:31" ht="15">
      <c r="A25" s="12" t="s">
        <v>29</v>
      </c>
      <c r="B25" s="5"/>
      <c r="C25" s="5"/>
      <c r="D25" s="5"/>
      <c r="E25" s="5"/>
      <c r="F25" s="7"/>
      <c r="G25" s="5"/>
    </row>
    <row r="26" spans="1:31">
      <c r="A26" s="7" t="s">
        <v>22</v>
      </c>
      <c r="B26" s="5"/>
      <c r="C26" s="7"/>
      <c r="D26" s="7">
        <f>E17*2</f>
        <v>10</v>
      </c>
      <c r="E26" s="7" t="s">
        <v>0</v>
      </c>
      <c r="F26" s="7"/>
      <c r="G26" s="5" t="s">
        <v>53</v>
      </c>
    </row>
    <row r="27" spans="1:31">
      <c r="A27" s="7" t="s">
        <v>57</v>
      </c>
      <c r="B27" s="5"/>
      <c r="C27" s="7"/>
      <c r="D27" s="79">
        <f>K8</f>
        <v>805</v>
      </c>
      <c r="E27" s="7"/>
      <c r="F27" s="7"/>
      <c r="G27" s="5" t="s">
        <v>39</v>
      </c>
    </row>
    <row r="28" spans="1:31">
      <c r="A28" s="7" t="s">
        <v>23</v>
      </c>
      <c r="B28" s="5"/>
      <c r="C28" s="7"/>
      <c r="D28" s="17">
        <f>0.67+0.002*D27</f>
        <v>2.2800000000000002</v>
      </c>
      <c r="E28" s="7"/>
      <c r="F28" s="7"/>
      <c r="G28" s="7"/>
      <c r="H28" s="7"/>
    </row>
    <row r="29" spans="1:31">
      <c r="A29" s="7" t="s">
        <v>30</v>
      </c>
      <c r="B29" s="5"/>
      <c r="C29" s="7"/>
      <c r="D29" s="17">
        <f>D26*D28</f>
        <v>22.800000000000004</v>
      </c>
      <c r="E29" s="7"/>
      <c r="F29" s="7"/>
      <c r="G29" s="5"/>
    </row>
    <row r="30" spans="1:31">
      <c r="E30" s="7"/>
    </row>
    <row r="31" spans="1:31">
      <c r="A31" s="2"/>
      <c r="B31" s="2"/>
      <c r="C31" s="2"/>
      <c r="D31" s="2"/>
      <c r="E31" s="2"/>
      <c r="F31" s="2"/>
      <c r="G31" s="2"/>
      <c r="H31" s="2"/>
      <c r="I31" s="44"/>
    </row>
    <row r="33" spans="1:8" ht="15.75" thickBot="1">
      <c r="A33" s="21" t="s">
        <v>32</v>
      </c>
      <c r="B33" s="7"/>
      <c r="C33" s="7"/>
      <c r="D33" s="7"/>
      <c r="E33" s="7"/>
      <c r="F33" s="2"/>
      <c r="G33" s="22" t="s">
        <v>1</v>
      </c>
      <c r="H33" s="22" t="s">
        <v>179</v>
      </c>
    </row>
    <row r="34" spans="1:8" ht="15.75" thickBot="1">
      <c r="A34" s="22" t="s">
        <v>1</v>
      </c>
      <c r="B34" s="22"/>
      <c r="C34" s="22" t="s">
        <v>179</v>
      </c>
      <c r="D34" s="22"/>
      <c r="E34" s="5"/>
      <c r="F34" s="2"/>
      <c r="G34" s="7" t="s">
        <v>2</v>
      </c>
      <c r="H34" s="27">
        <f>C35</f>
        <v>70</v>
      </c>
    </row>
    <row r="35" spans="1:8">
      <c r="A35" s="7" t="s">
        <v>2</v>
      </c>
      <c r="B35" s="7"/>
      <c r="C35" s="7">
        <v>70</v>
      </c>
      <c r="D35" s="7"/>
      <c r="E35" s="5"/>
      <c r="F35" s="2"/>
      <c r="G35" s="7" t="s">
        <v>31</v>
      </c>
      <c r="H35" s="28">
        <f>E20*D27</f>
        <v>319491.06206672086</v>
      </c>
    </row>
    <row r="36" spans="1:8">
      <c r="A36" s="7"/>
      <c r="B36" s="5"/>
      <c r="C36" s="7"/>
      <c r="D36" s="7"/>
      <c r="E36" s="5"/>
      <c r="F36" s="2"/>
      <c r="G36" s="7" t="s">
        <v>36</v>
      </c>
      <c r="H36" s="29">
        <f>C35*D26*D27</f>
        <v>563500</v>
      </c>
    </row>
    <row r="37" spans="1:8">
      <c r="A37" s="23" t="s">
        <v>33</v>
      </c>
      <c r="B37" s="5"/>
      <c r="C37" s="7"/>
      <c r="D37" s="7"/>
      <c r="E37" s="5"/>
      <c r="F37" s="2"/>
      <c r="G37" s="7" t="s">
        <v>24</v>
      </c>
      <c r="H37" s="27">
        <f>$D26*C35</f>
        <v>700</v>
      </c>
    </row>
    <row r="38" spans="1:8">
      <c r="A38" s="7" t="s">
        <v>181</v>
      </c>
      <c r="B38" s="7"/>
      <c r="C38" s="7">
        <v>296</v>
      </c>
      <c r="D38" s="7" t="s">
        <v>182</v>
      </c>
      <c r="E38" s="5"/>
      <c r="F38" s="2"/>
      <c r="G38" s="7" t="s">
        <v>3</v>
      </c>
      <c r="H38" s="29">
        <f>$E20</f>
        <v>396.88330691518121</v>
      </c>
    </row>
    <row r="39" spans="1:8" ht="15">
      <c r="A39" s="7" t="s">
        <v>183</v>
      </c>
      <c r="B39" s="7"/>
      <c r="C39" s="7">
        <v>800</v>
      </c>
      <c r="D39" s="7" t="s">
        <v>182</v>
      </c>
      <c r="E39" s="5"/>
      <c r="F39" s="2"/>
      <c r="G39" s="19" t="s">
        <v>4</v>
      </c>
      <c r="H39" s="30">
        <f>H38/H37</f>
        <v>0.56697615273597313</v>
      </c>
    </row>
    <row r="40" spans="1:8">
      <c r="A40" s="7" t="s">
        <v>184</v>
      </c>
      <c r="B40" s="7"/>
      <c r="C40" s="7">
        <v>361</v>
      </c>
      <c r="D40" s="7" t="s">
        <v>182</v>
      </c>
      <c r="E40" s="5"/>
      <c r="F40" s="2"/>
      <c r="G40" s="7" t="s">
        <v>181</v>
      </c>
      <c r="H40" s="82">
        <f>C38*D29</f>
        <v>6748.8000000000011</v>
      </c>
    </row>
    <row r="41" spans="1:8">
      <c r="A41" s="1" t="s">
        <v>185</v>
      </c>
      <c r="C41" s="1">
        <v>8</v>
      </c>
      <c r="D41" s="7" t="s">
        <v>182</v>
      </c>
      <c r="E41" s="7"/>
      <c r="F41" s="2"/>
      <c r="G41" s="7" t="s">
        <v>183</v>
      </c>
      <c r="H41" s="82">
        <f>C39*D29</f>
        <v>18240.000000000004</v>
      </c>
    </row>
    <row r="42" spans="1:8">
      <c r="A42" s="1" t="s">
        <v>186</v>
      </c>
      <c r="C42" s="1">
        <v>14</v>
      </c>
      <c r="D42" s="7" t="s">
        <v>182</v>
      </c>
      <c r="E42" s="7"/>
      <c r="F42" s="2"/>
      <c r="G42" s="7" t="s">
        <v>184</v>
      </c>
      <c r="H42" s="82">
        <f>C40*D29</f>
        <v>8230.8000000000011</v>
      </c>
    </row>
    <row r="43" spans="1:8">
      <c r="A43" s="1" t="s">
        <v>187</v>
      </c>
      <c r="C43" s="1">
        <v>318</v>
      </c>
      <c r="D43" s="7" t="s">
        <v>182</v>
      </c>
      <c r="E43" s="7"/>
      <c r="F43" s="2"/>
      <c r="G43" s="1" t="s">
        <v>185</v>
      </c>
      <c r="H43" s="82">
        <f>C41*D29</f>
        <v>182.40000000000003</v>
      </c>
    </row>
    <row r="44" spans="1:8">
      <c r="A44" s="1" t="s">
        <v>188</v>
      </c>
      <c r="C44" s="1">
        <v>30</v>
      </c>
      <c r="D44" s="7" t="s">
        <v>182</v>
      </c>
      <c r="E44" s="7"/>
      <c r="F44" s="2"/>
      <c r="G44" s="1" t="s">
        <v>186</v>
      </c>
      <c r="H44" s="82">
        <f>C42*D29</f>
        <v>319.20000000000005</v>
      </c>
    </row>
    <row r="45" spans="1:8">
      <c r="A45" s="1" t="s">
        <v>64</v>
      </c>
      <c r="C45" s="1">
        <v>19</v>
      </c>
      <c r="D45" s="7" t="s">
        <v>182</v>
      </c>
      <c r="E45" s="7"/>
      <c r="F45" s="2"/>
      <c r="G45" s="1" t="s">
        <v>187</v>
      </c>
      <c r="H45" s="82">
        <f>C43*D29</f>
        <v>7250.4000000000015</v>
      </c>
    </row>
    <row r="46" spans="1:8" ht="15">
      <c r="A46" s="10" t="s">
        <v>189</v>
      </c>
      <c r="C46" s="1">
        <f>SUM(C38:C45)</f>
        <v>1846</v>
      </c>
      <c r="D46" s="7" t="s">
        <v>182</v>
      </c>
      <c r="E46" s="7"/>
      <c r="G46" s="1" t="s">
        <v>188</v>
      </c>
      <c r="H46" s="82">
        <f>C44*D29</f>
        <v>684.00000000000011</v>
      </c>
    </row>
    <row r="47" spans="1:8">
      <c r="D47" s="2"/>
      <c r="G47" s="1" t="s">
        <v>64</v>
      </c>
      <c r="H47" s="82">
        <f>C45*D29</f>
        <v>433.2000000000001</v>
      </c>
    </row>
    <row r="48" spans="1:8">
      <c r="A48" s="23" t="s">
        <v>6</v>
      </c>
      <c r="B48" s="7"/>
      <c r="C48" s="7"/>
      <c r="G48" s="7" t="s">
        <v>37</v>
      </c>
      <c r="H48" s="29">
        <f>C46*$D26*$D28</f>
        <v>42088.800000000003</v>
      </c>
    </row>
    <row r="49" spans="1:8">
      <c r="A49" s="7" t="s">
        <v>10</v>
      </c>
      <c r="B49" s="24">
        <v>0.01</v>
      </c>
      <c r="C49" s="7" t="s">
        <v>11</v>
      </c>
      <c r="G49" s="7" t="s">
        <v>5</v>
      </c>
      <c r="H49" s="29">
        <f>$B49*H35</f>
        <v>3194.9106206672086</v>
      </c>
    </row>
    <row r="50" spans="1:8">
      <c r="A50" s="7" t="s">
        <v>13</v>
      </c>
      <c r="B50" s="25">
        <v>10</v>
      </c>
      <c r="C50" s="7" t="s">
        <v>14</v>
      </c>
      <c r="G50" s="7" t="s">
        <v>7</v>
      </c>
      <c r="H50" s="29">
        <f>$B50*H38</f>
        <v>3968.8330691518122</v>
      </c>
    </row>
    <row r="51" spans="1:8">
      <c r="A51" s="7" t="s">
        <v>15</v>
      </c>
      <c r="B51" s="25">
        <v>750</v>
      </c>
      <c r="C51" s="7" t="s">
        <v>16</v>
      </c>
      <c r="G51" s="7" t="s">
        <v>8</v>
      </c>
      <c r="H51" s="29">
        <f>$B51*$D26</f>
        <v>7500</v>
      </c>
    </row>
    <row r="52" spans="1:8">
      <c r="A52" s="7" t="s">
        <v>17</v>
      </c>
      <c r="B52" s="14">
        <v>0.09</v>
      </c>
      <c r="C52" s="7" t="s">
        <v>18</v>
      </c>
      <c r="G52" s="7" t="s">
        <v>9</v>
      </c>
      <c r="H52" s="29">
        <f>$B52*$E23</f>
        <v>5465.0831362220451</v>
      </c>
    </row>
    <row r="53" spans="1:8">
      <c r="A53" s="7" t="s">
        <v>19</v>
      </c>
      <c r="B53" s="26">
        <v>2E-3</v>
      </c>
      <c r="C53" s="7" t="s">
        <v>20</v>
      </c>
      <c r="G53" s="7" t="s">
        <v>12</v>
      </c>
      <c r="H53" s="29">
        <f>$B53*H36</f>
        <v>1127</v>
      </c>
    </row>
    <row r="54" spans="1:8" ht="15">
      <c r="G54" s="19" t="s">
        <v>34</v>
      </c>
      <c r="H54" s="31">
        <f>SUM(H48:H53)</f>
        <v>63344.626826041072</v>
      </c>
    </row>
    <row r="55" spans="1:8" ht="15">
      <c r="G55" s="4" t="s">
        <v>35</v>
      </c>
      <c r="H55" s="32">
        <f>H54/H36</f>
        <v>0.11241282489093359</v>
      </c>
    </row>
    <row r="56" spans="1:8" ht="15">
      <c r="G56" s="10" t="s">
        <v>71</v>
      </c>
      <c r="H56" s="91">
        <f>E23</f>
        <v>60723.145958022724</v>
      </c>
    </row>
    <row r="57" spans="1:8" ht="15">
      <c r="G57" s="19" t="s">
        <v>21</v>
      </c>
      <c r="H57" s="31">
        <f>H56-H54</f>
        <v>-2621.4808680183487</v>
      </c>
    </row>
    <row r="58" spans="1:8" ht="15">
      <c r="G58" s="4" t="s">
        <v>25</v>
      </c>
      <c r="H58" s="83">
        <f>H57/H56</f>
        <v>-4.3171031847239125E-2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opLeftCell="A13" zoomScale="85" zoomScaleNormal="85" workbookViewId="0">
      <selection activeCell="H33" sqref="H33:H58"/>
    </sheetView>
  </sheetViews>
  <sheetFormatPr defaultRowHeight="14.25"/>
  <cols>
    <col min="1" max="1" width="29" style="1" customWidth="1"/>
    <col min="2" max="3" width="9.140625" style="1"/>
    <col min="4" max="4" width="11.5703125" style="1" bestFit="1" customWidth="1"/>
    <col min="5" max="5" width="11" style="1" bestFit="1" customWidth="1"/>
    <col min="6" max="6" width="9.140625" style="1"/>
    <col min="7" max="7" width="23.7109375" style="1" bestFit="1" customWidth="1"/>
    <col min="8" max="8" width="12.7109375" style="1" customWidth="1"/>
    <col min="9" max="9" width="12.7109375" style="45" customWidth="1"/>
    <col min="10" max="10" width="12.7109375" style="1" customWidth="1"/>
    <col min="11" max="11" width="10.28515625" style="1" bestFit="1" customWidth="1"/>
    <col min="12" max="12" width="9.140625" style="1"/>
    <col min="13" max="13" width="16.5703125" style="1" customWidth="1"/>
    <col min="14" max="19" width="9.140625" style="1"/>
    <col min="20" max="20" width="9.85546875" style="1" customWidth="1"/>
    <col min="21" max="16384" width="9.140625" style="1"/>
  </cols>
  <sheetData>
    <row r="1" spans="1:24" ht="15">
      <c r="A1" s="3" t="s">
        <v>40</v>
      </c>
      <c r="C1" s="2"/>
      <c r="D1" s="2"/>
      <c r="E1" s="2"/>
      <c r="F1" s="2"/>
      <c r="G1" s="2"/>
      <c r="H1" s="2"/>
      <c r="I1" s="44"/>
    </row>
    <row r="3" spans="1:24" ht="15">
      <c r="A3" s="10" t="s">
        <v>112</v>
      </c>
      <c r="G3" s="33" t="s">
        <v>56</v>
      </c>
    </row>
    <row r="4" spans="1:24" ht="15">
      <c r="A4" s="10"/>
      <c r="I4" s="46" t="s">
        <v>67</v>
      </c>
      <c r="J4" t="s">
        <v>68</v>
      </c>
      <c r="K4" s="34" t="s">
        <v>69</v>
      </c>
      <c r="L4" s="35" t="s">
        <v>70</v>
      </c>
      <c r="M4" s="35" t="s">
        <v>71</v>
      </c>
      <c r="N4" s="36" t="s">
        <v>72</v>
      </c>
      <c r="O4" s="36"/>
      <c r="P4" s="34"/>
      <c r="Q4" s="37"/>
      <c r="R4"/>
      <c r="S4"/>
      <c r="T4"/>
      <c r="U4"/>
      <c r="V4"/>
      <c r="W4"/>
      <c r="X4" s="39"/>
    </row>
    <row r="5" spans="1:24" ht="15">
      <c r="A5" s="10" t="s">
        <v>41</v>
      </c>
      <c r="E5" s="11">
        <f>M8/L8</f>
        <v>139.47745428137586</v>
      </c>
      <c r="G5" s="1" t="s">
        <v>94</v>
      </c>
      <c r="I5" s="46" t="s">
        <v>73</v>
      </c>
      <c r="J5" t="s">
        <v>74</v>
      </c>
      <c r="K5" s="34" t="s">
        <v>75</v>
      </c>
      <c r="L5" s="35" t="s">
        <v>76</v>
      </c>
      <c r="M5" s="35" t="s">
        <v>77</v>
      </c>
      <c r="N5" s="36" t="s">
        <v>78</v>
      </c>
      <c r="O5" s="36" t="s">
        <v>79</v>
      </c>
      <c r="P5" s="34" t="s">
        <v>79</v>
      </c>
      <c r="Q5" s="37"/>
      <c r="R5"/>
      <c r="S5"/>
      <c r="T5"/>
      <c r="U5"/>
      <c r="V5"/>
      <c r="W5"/>
      <c r="X5" s="39"/>
    </row>
    <row r="6" spans="1:24" ht="15">
      <c r="A6" s="4" t="s">
        <v>42</v>
      </c>
      <c r="B6" s="5"/>
      <c r="C6" s="5"/>
      <c r="D6" s="5"/>
      <c r="E6" s="38">
        <f>Optimization!D4</f>
        <v>112</v>
      </c>
      <c r="F6" s="5"/>
      <c r="G6" s="5"/>
      <c r="I6" s="46" t="s">
        <v>80</v>
      </c>
      <c r="J6" t="s">
        <v>81</v>
      </c>
      <c r="K6" s="34" t="s">
        <v>82</v>
      </c>
      <c r="L6" s="35" t="s">
        <v>83</v>
      </c>
      <c r="M6" s="35" t="s">
        <v>84</v>
      </c>
      <c r="N6" s="36" t="s">
        <v>85</v>
      </c>
      <c r="O6" s="36" t="s">
        <v>86</v>
      </c>
      <c r="P6" s="34" t="s">
        <v>87</v>
      </c>
      <c r="Q6" s="37" t="s">
        <v>88</v>
      </c>
      <c r="R6" t="s">
        <v>89</v>
      </c>
      <c r="S6" t="s">
        <v>90</v>
      </c>
      <c r="T6" t="s">
        <v>91</v>
      </c>
      <c r="U6" t="s">
        <v>92</v>
      </c>
      <c r="V6" t="s">
        <v>89</v>
      </c>
      <c r="W6" t="s">
        <v>90</v>
      </c>
      <c r="X6" s="39"/>
    </row>
    <row r="7" spans="1:24">
      <c r="A7" s="5"/>
      <c r="B7" s="5"/>
      <c r="C7" s="5"/>
      <c r="D7" s="5"/>
      <c r="E7" s="5"/>
      <c r="F7" s="5"/>
      <c r="G7" s="5"/>
      <c r="I7" s="46"/>
      <c r="J7" s="39"/>
      <c r="K7" s="39"/>
      <c r="L7" s="39"/>
      <c r="M7" s="39"/>
      <c r="N7" s="39"/>
      <c r="O7" s="39"/>
      <c r="P7" s="39"/>
      <c r="Q7" s="40"/>
      <c r="R7" s="39"/>
      <c r="S7" s="39"/>
      <c r="T7" s="39"/>
      <c r="U7" s="39"/>
      <c r="V7"/>
      <c r="W7"/>
      <c r="X7" s="39"/>
    </row>
    <row r="8" spans="1:24" ht="15">
      <c r="A8" s="4"/>
      <c r="B8" s="5"/>
      <c r="C8" s="5"/>
      <c r="D8" s="5"/>
      <c r="E8" s="6"/>
      <c r="F8" s="5"/>
      <c r="G8" s="5"/>
      <c r="I8" s="46">
        <v>28</v>
      </c>
      <c r="J8" t="s">
        <v>99</v>
      </c>
      <c r="K8" s="34">
        <v>595</v>
      </c>
      <c r="L8" s="35">
        <v>1514.7</v>
      </c>
      <c r="M8" s="35">
        <v>211266.5</v>
      </c>
      <c r="N8" s="36">
        <v>100</v>
      </c>
      <c r="O8" s="36">
        <v>23.09</v>
      </c>
      <c r="P8" s="34">
        <v>604</v>
      </c>
      <c r="Q8" s="37">
        <v>20102</v>
      </c>
      <c r="R8" t="s">
        <v>100</v>
      </c>
      <c r="S8" t="s">
        <v>111</v>
      </c>
      <c r="T8">
        <v>1</v>
      </c>
      <c r="U8" t="s">
        <v>58</v>
      </c>
      <c r="V8" t="s">
        <v>99</v>
      </c>
      <c r="W8" t="s">
        <v>110</v>
      </c>
      <c r="X8"/>
    </row>
    <row r="9" spans="1:24" ht="15">
      <c r="A9" s="12" t="s">
        <v>48</v>
      </c>
      <c r="B9" s="5"/>
      <c r="C9" s="5"/>
      <c r="D9" s="5"/>
      <c r="E9" s="6"/>
      <c r="F9" s="7"/>
      <c r="G9" s="9"/>
      <c r="H9" s="7"/>
      <c r="I9" s="46"/>
      <c r="J9" t="s">
        <v>110</v>
      </c>
      <c r="K9" s="34"/>
      <c r="L9" s="35"/>
      <c r="M9" s="35"/>
      <c r="N9" s="36"/>
      <c r="O9" s="36"/>
      <c r="P9" s="34"/>
      <c r="Q9" s="37"/>
      <c r="R9"/>
      <c r="S9"/>
      <c r="T9"/>
      <c r="U9"/>
      <c r="V9"/>
      <c r="W9"/>
      <c r="X9" s="39"/>
    </row>
    <row r="10" spans="1:24">
      <c r="A10" s="7" t="s">
        <v>43</v>
      </c>
      <c r="B10" s="5"/>
      <c r="C10" s="7"/>
      <c r="D10" s="7"/>
      <c r="E10" s="13">
        <f>Optimization!D8</f>
        <v>3029.4</v>
      </c>
      <c r="F10" s="7"/>
      <c r="G10" s="7" t="s">
        <v>53</v>
      </c>
      <c r="H10" s="7"/>
      <c r="I10" s="46">
        <v>28</v>
      </c>
      <c r="J10" t="s">
        <v>103</v>
      </c>
      <c r="K10" s="34">
        <v>595</v>
      </c>
      <c r="L10" s="35">
        <v>734.1</v>
      </c>
      <c r="M10" s="35">
        <v>110034.1</v>
      </c>
      <c r="N10" s="36">
        <v>48.46</v>
      </c>
      <c r="O10" s="36">
        <v>24.86</v>
      </c>
      <c r="P10" s="34">
        <v>603</v>
      </c>
      <c r="Q10" s="37">
        <v>20102</v>
      </c>
      <c r="R10" t="s">
        <v>100</v>
      </c>
      <c r="S10" t="s">
        <v>111</v>
      </c>
      <c r="T10">
        <v>2</v>
      </c>
      <c r="U10" t="s">
        <v>104</v>
      </c>
      <c r="V10" t="s">
        <v>99</v>
      </c>
      <c r="W10" t="s">
        <v>110</v>
      </c>
      <c r="X10" s="39"/>
    </row>
    <row r="11" spans="1:24">
      <c r="A11" s="7" t="s">
        <v>46</v>
      </c>
      <c r="B11" s="5"/>
      <c r="C11" s="7"/>
      <c r="D11" s="7"/>
      <c r="E11" s="13">
        <f>Optimization!D9</f>
        <v>3180.8700000000003</v>
      </c>
      <c r="F11" s="7"/>
      <c r="G11" s="7" t="s">
        <v>44</v>
      </c>
      <c r="H11" s="7"/>
      <c r="I11" s="46">
        <v>28</v>
      </c>
      <c r="J11" t="s">
        <v>107</v>
      </c>
      <c r="K11" s="34">
        <v>595</v>
      </c>
      <c r="L11" s="35">
        <v>330.7</v>
      </c>
      <c r="M11" s="35">
        <v>35251.1</v>
      </c>
      <c r="N11" s="36">
        <v>21.83</v>
      </c>
      <c r="O11" s="36">
        <v>18.07</v>
      </c>
      <c r="P11" s="34">
        <v>590</v>
      </c>
      <c r="Q11" s="37">
        <v>20102</v>
      </c>
      <c r="R11" t="s">
        <v>100</v>
      </c>
      <c r="S11" t="s">
        <v>111</v>
      </c>
      <c r="T11">
        <v>2</v>
      </c>
      <c r="U11" t="s">
        <v>108</v>
      </c>
      <c r="V11" t="s">
        <v>99</v>
      </c>
      <c r="W11" t="s">
        <v>110</v>
      </c>
      <c r="X11" s="39"/>
    </row>
    <row r="12" spans="1:24">
      <c r="A12" s="7" t="s">
        <v>45</v>
      </c>
      <c r="B12" s="5"/>
      <c r="C12" s="7"/>
      <c r="D12" s="7"/>
      <c r="E12" s="18">
        <f>Optimization!D10</f>
        <v>-1.2</v>
      </c>
      <c r="F12" s="7"/>
      <c r="G12" s="7" t="s">
        <v>54</v>
      </c>
      <c r="H12" s="7"/>
      <c r="I12" s="46">
        <v>28</v>
      </c>
      <c r="J12" t="s">
        <v>61</v>
      </c>
      <c r="K12" s="34">
        <v>595</v>
      </c>
      <c r="L12" s="35">
        <v>232.9</v>
      </c>
      <c r="M12" s="35">
        <v>33710.800000000003</v>
      </c>
      <c r="N12" s="36">
        <v>15.38</v>
      </c>
      <c r="O12" s="36">
        <v>23.81</v>
      </c>
      <c r="P12" s="34">
        <v>608</v>
      </c>
      <c r="Q12" s="37">
        <v>20102</v>
      </c>
      <c r="R12" t="s">
        <v>100</v>
      </c>
      <c r="S12" t="s">
        <v>111</v>
      </c>
      <c r="T12">
        <v>2</v>
      </c>
      <c r="U12" t="s">
        <v>62</v>
      </c>
      <c r="V12" t="s">
        <v>99</v>
      </c>
      <c r="W12" t="s">
        <v>110</v>
      </c>
      <c r="X12" s="39"/>
    </row>
    <row r="13" spans="1:24">
      <c r="A13" s="7" t="s">
        <v>47</v>
      </c>
      <c r="B13" s="5"/>
      <c r="C13" s="7"/>
      <c r="D13" s="7"/>
      <c r="E13" s="13">
        <f>E11*(1+((E6-E5)/E5)*E12)</f>
        <v>3932.8384994279736</v>
      </c>
      <c r="F13" s="7"/>
      <c r="G13" s="7"/>
      <c r="H13" s="7"/>
      <c r="I13" s="46">
        <v>28</v>
      </c>
      <c r="J13" t="s">
        <v>105</v>
      </c>
      <c r="K13" s="34">
        <v>595</v>
      </c>
      <c r="L13" s="35">
        <v>197.4</v>
      </c>
      <c r="M13" s="35">
        <v>28556.400000000001</v>
      </c>
      <c r="N13" s="36">
        <v>13.03</v>
      </c>
      <c r="O13" s="36">
        <v>23.8</v>
      </c>
      <c r="P13" s="34">
        <v>608</v>
      </c>
      <c r="Q13" s="37">
        <v>20102</v>
      </c>
      <c r="R13" t="s">
        <v>100</v>
      </c>
      <c r="S13" t="s">
        <v>111</v>
      </c>
      <c r="T13">
        <v>2</v>
      </c>
      <c r="U13" t="s">
        <v>106</v>
      </c>
      <c r="V13" t="s">
        <v>99</v>
      </c>
      <c r="W13" t="s">
        <v>110</v>
      </c>
      <c r="X13" s="39"/>
    </row>
    <row r="14" spans="1:24">
      <c r="A14" s="7"/>
      <c r="B14" s="5"/>
      <c r="C14" s="7"/>
      <c r="D14" s="7"/>
      <c r="E14" s="13"/>
      <c r="F14" s="7"/>
      <c r="G14" s="7"/>
      <c r="H14" s="7"/>
      <c r="I14" s="46">
        <v>28</v>
      </c>
      <c r="J14" t="s">
        <v>63</v>
      </c>
      <c r="K14" s="34">
        <v>595</v>
      </c>
      <c r="L14" s="35">
        <v>14.2</v>
      </c>
      <c r="M14" s="35">
        <v>2451.5</v>
      </c>
      <c r="N14" s="36">
        <v>0.94</v>
      </c>
      <c r="O14" s="36">
        <v>21.43</v>
      </c>
      <c r="P14" s="34">
        <v>804</v>
      </c>
      <c r="Q14" s="37">
        <v>20102</v>
      </c>
      <c r="R14" t="s">
        <v>100</v>
      </c>
      <c r="S14" t="s">
        <v>111</v>
      </c>
      <c r="T14">
        <v>3</v>
      </c>
      <c r="U14" t="s">
        <v>64</v>
      </c>
      <c r="V14" t="s">
        <v>99</v>
      </c>
      <c r="W14" t="s">
        <v>110</v>
      </c>
      <c r="X14" s="39"/>
    </row>
    <row r="15" spans="1:24" ht="15">
      <c r="A15" s="9" t="s">
        <v>49</v>
      </c>
      <c r="B15" s="5"/>
      <c r="C15" s="7"/>
      <c r="D15" s="7"/>
      <c r="E15" s="13"/>
      <c r="F15" s="7"/>
      <c r="G15" s="7"/>
      <c r="H15" s="7"/>
      <c r="I15" s="46">
        <v>28</v>
      </c>
      <c r="J15" t="s">
        <v>65</v>
      </c>
      <c r="K15" s="34">
        <v>595</v>
      </c>
      <c r="L15" s="35">
        <v>5.4</v>
      </c>
      <c r="M15" s="35">
        <v>1262.5</v>
      </c>
      <c r="N15" s="36">
        <v>0.36</v>
      </c>
      <c r="O15" s="36">
        <v>0</v>
      </c>
      <c r="P15" s="34">
        <v>604</v>
      </c>
      <c r="Q15" s="37">
        <v>20102</v>
      </c>
      <c r="R15" t="s">
        <v>100</v>
      </c>
      <c r="S15" t="s">
        <v>111</v>
      </c>
      <c r="T15">
        <v>4</v>
      </c>
      <c r="U15" t="s">
        <v>66</v>
      </c>
      <c r="V15" t="s">
        <v>99</v>
      </c>
      <c r="W15" t="s">
        <v>110</v>
      </c>
    </row>
    <row r="16" spans="1:24">
      <c r="A16" s="7" t="s">
        <v>50</v>
      </c>
      <c r="B16" s="5"/>
      <c r="C16" s="7"/>
      <c r="D16" s="7"/>
      <c r="E16" s="20">
        <f>Optimization!D14</f>
        <v>40.5</v>
      </c>
      <c r="F16" s="7"/>
      <c r="G16" s="7" t="s">
        <v>55</v>
      </c>
      <c r="H16" s="7"/>
    </row>
    <row r="17" spans="1:32" ht="15">
      <c r="A17" s="5" t="s">
        <v>51</v>
      </c>
      <c r="B17" s="5"/>
      <c r="C17" s="5"/>
      <c r="D17" s="5"/>
      <c r="E17" s="7">
        <f>Optimization!D15</f>
        <v>6</v>
      </c>
      <c r="F17" s="7"/>
      <c r="G17" s="7"/>
      <c r="H17" s="7"/>
      <c r="I17" s="56" t="s">
        <v>115</v>
      </c>
      <c r="J17" s="48" t="s">
        <v>116</v>
      </c>
      <c r="K17" s="48" t="s">
        <v>117</v>
      </c>
      <c r="L17" s="47" t="s">
        <v>118</v>
      </c>
      <c r="M17" s="47" t="s">
        <v>119</v>
      </c>
      <c r="N17" s="49" t="s">
        <v>120</v>
      </c>
      <c r="O17" s="47" t="s">
        <v>121</v>
      </c>
      <c r="P17" s="50" t="s">
        <v>122</v>
      </c>
      <c r="Q17" s="47" t="s">
        <v>123</v>
      </c>
      <c r="R17" s="47" t="s">
        <v>124</v>
      </c>
      <c r="S17" s="47" t="s">
        <v>117</v>
      </c>
      <c r="T17" s="47" t="s">
        <v>139</v>
      </c>
      <c r="U17"/>
      <c r="V17" s="47" t="s">
        <v>115</v>
      </c>
      <c r="W17" s="48" t="s">
        <v>116</v>
      </c>
      <c r="X17" s="48" t="s">
        <v>117</v>
      </c>
      <c r="Y17" s="47" t="s">
        <v>118</v>
      </c>
      <c r="Z17" s="47" t="s">
        <v>119</v>
      </c>
      <c r="AA17" s="49" t="s">
        <v>120</v>
      </c>
      <c r="AB17" s="47" t="s">
        <v>121</v>
      </c>
      <c r="AC17" s="50" t="s">
        <v>122</v>
      </c>
      <c r="AD17" s="47" t="s">
        <v>123</v>
      </c>
      <c r="AE17" s="47" t="s">
        <v>124</v>
      </c>
      <c r="AF17" s="47" t="s">
        <v>117</v>
      </c>
    </row>
    <row r="18" spans="1:32">
      <c r="A18" s="7" t="s">
        <v>26</v>
      </c>
      <c r="B18" s="5"/>
      <c r="C18" s="7"/>
      <c r="D18" s="7"/>
      <c r="E18" s="14">
        <f>Optimization!D16</f>
        <v>0.13861357763152096</v>
      </c>
      <c r="F18" s="7"/>
      <c r="G18" s="7" t="s">
        <v>38</v>
      </c>
      <c r="H18" s="7"/>
      <c r="I18" s="57">
        <v>35</v>
      </c>
      <c r="J18" s="51" t="s">
        <v>140</v>
      </c>
      <c r="K18" s="51" t="s">
        <v>126</v>
      </c>
      <c r="L18" s="51" t="s">
        <v>95</v>
      </c>
      <c r="M18" s="51"/>
      <c r="N18" s="51">
        <v>24.6666666666667</v>
      </c>
      <c r="O18" s="51">
        <v>740</v>
      </c>
      <c r="P18" s="53"/>
      <c r="Q18" s="51"/>
      <c r="R18" s="51" t="s">
        <v>140</v>
      </c>
      <c r="S18" s="51" t="s">
        <v>126</v>
      </c>
      <c r="T18" s="54" t="e">
        <f>N18/($G$6+$G$16)</f>
        <v>#VALUE!</v>
      </c>
      <c r="U18"/>
      <c r="V18" s="51">
        <v>44</v>
      </c>
      <c r="W18" s="51" t="s">
        <v>126</v>
      </c>
      <c r="X18" s="51" t="s">
        <v>140</v>
      </c>
      <c r="Y18" s="51" t="s">
        <v>95</v>
      </c>
      <c r="Z18" s="51"/>
      <c r="AA18" s="51">
        <v>23.733333333333299</v>
      </c>
      <c r="AB18" s="51">
        <v>712</v>
      </c>
      <c r="AC18" s="53"/>
      <c r="AD18" s="51"/>
      <c r="AE18" s="51" t="s">
        <v>126</v>
      </c>
      <c r="AF18" s="51" t="s">
        <v>140</v>
      </c>
    </row>
    <row r="19" spans="1:32">
      <c r="A19" s="7"/>
      <c r="B19" s="5"/>
      <c r="C19" s="7"/>
      <c r="D19" s="7"/>
      <c r="E19" s="14"/>
      <c r="F19" s="5"/>
      <c r="G19" s="7"/>
      <c r="H19" s="5"/>
      <c r="I19" s="57"/>
      <c r="J19" s="51"/>
      <c r="K19" s="51"/>
      <c r="L19" s="51" t="s">
        <v>141</v>
      </c>
      <c r="M19" s="51" t="s">
        <v>142</v>
      </c>
      <c r="N19" s="51">
        <v>6.6</v>
      </c>
      <c r="O19" s="51">
        <v>198</v>
      </c>
      <c r="P19" s="53">
        <v>0.267567567567568</v>
      </c>
      <c r="Q19" s="51" t="s">
        <v>143</v>
      </c>
      <c r="R19" s="51" t="s">
        <v>140</v>
      </c>
      <c r="S19" s="51" t="s">
        <v>126</v>
      </c>
      <c r="T19" s="54" t="e">
        <f>N19/($G$6+$G$16)</f>
        <v>#VALUE!</v>
      </c>
      <c r="U19"/>
      <c r="V19" s="51"/>
      <c r="W19" s="51"/>
      <c r="X19" s="51"/>
      <c r="Y19" s="51" t="s">
        <v>141</v>
      </c>
      <c r="Z19" s="51" t="s">
        <v>142</v>
      </c>
      <c r="AA19" s="51">
        <v>6.6333333333333302</v>
      </c>
      <c r="AB19" s="51">
        <v>199</v>
      </c>
      <c r="AC19" s="53">
        <v>0.27949438202247201</v>
      </c>
      <c r="AD19" s="51" t="s">
        <v>143</v>
      </c>
      <c r="AE19" s="51" t="s">
        <v>126</v>
      </c>
      <c r="AF19" s="51" t="s">
        <v>140</v>
      </c>
    </row>
    <row r="20" spans="1:32">
      <c r="A20" s="7" t="s">
        <v>52</v>
      </c>
      <c r="B20" s="5"/>
      <c r="C20" s="7"/>
      <c r="D20" s="7"/>
      <c r="E20" s="13">
        <f>E13*E18</f>
        <v>545.14481465269387</v>
      </c>
      <c r="F20" s="15"/>
      <c r="G20" s="5"/>
      <c r="H20" s="8"/>
      <c r="I20" s="57"/>
      <c r="J20" s="51"/>
      <c r="K20" s="51"/>
      <c r="L20" s="51" t="s">
        <v>144</v>
      </c>
      <c r="M20" s="51" t="s">
        <v>145</v>
      </c>
      <c r="N20" s="51">
        <v>5.4</v>
      </c>
      <c r="O20" s="51">
        <v>162</v>
      </c>
      <c r="P20" s="53">
        <v>0.21891891891891899</v>
      </c>
      <c r="Q20" s="51" t="s">
        <v>146</v>
      </c>
      <c r="R20" s="51" t="s">
        <v>140</v>
      </c>
      <c r="S20" s="51" t="s">
        <v>126</v>
      </c>
      <c r="T20" s="54" t="e">
        <f t="shared" ref="T20:T34" si="0">N20/($G$6+$G$16)</f>
        <v>#VALUE!</v>
      </c>
      <c r="U20"/>
      <c r="V20" s="51"/>
      <c r="W20" s="51"/>
      <c r="X20" s="51"/>
      <c r="Y20" s="51" t="s">
        <v>144</v>
      </c>
      <c r="Z20" s="51" t="s">
        <v>145</v>
      </c>
      <c r="AA20" s="51">
        <v>5.3333333333333304</v>
      </c>
      <c r="AB20" s="51">
        <v>160</v>
      </c>
      <c r="AC20" s="53">
        <v>0.224719101123595</v>
      </c>
      <c r="AD20" s="51" t="s">
        <v>147</v>
      </c>
      <c r="AE20" s="51" t="s">
        <v>126</v>
      </c>
      <c r="AF20" s="51" t="s">
        <v>140</v>
      </c>
    </row>
    <row r="21" spans="1:32">
      <c r="A21" s="7" t="s">
        <v>191</v>
      </c>
      <c r="B21" s="5"/>
      <c r="C21" s="7"/>
      <c r="D21" s="7"/>
      <c r="E21" s="13">
        <f>MIN($E20, H37*0.85)</f>
        <v>545.14481465269387</v>
      </c>
      <c r="F21" s="7"/>
      <c r="G21" s="7"/>
      <c r="H21" s="7"/>
      <c r="I21" s="57"/>
      <c r="J21" s="51"/>
      <c r="K21" s="51"/>
      <c r="L21" s="51" t="s">
        <v>148</v>
      </c>
      <c r="M21" s="51" t="s">
        <v>149</v>
      </c>
      <c r="N21" s="51">
        <v>2.93333333333333</v>
      </c>
      <c r="O21" s="51">
        <v>88</v>
      </c>
      <c r="P21" s="53">
        <v>0.11891891891891899</v>
      </c>
      <c r="Q21" s="51" t="s">
        <v>135</v>
      </c>
      <c r="R21" s="51" t="s">
        <v>140</v>
      </c>
      <c r="S21" s="51" t="s">
        <v>126</v>
      </c>
      <c r="T21" s="54" t="e">
        <f t="shared" si="0"/>
        <v>#VALUE!</v>
      </c>
      <c r="U21"/>
      <c r="V21" s="51"/>
      <c r="W21" s="51"/>
      <c r="X21" s="51"/>
      <c r="Y21" s="51" t="s">
        <v>148</v>
      </c>
      <c r="Z21" s="51" t="s">
        <v>149</v>
      </c>
      <c r="AA21" s="51">
        <v>2.8333333333333299</v>
      </c>
      <c r="AB21" s="51">
        <v>85</v>
      </c>
      <c r="AC21" s="53">
        <v>0.11938202247191</v>
      </c>
      <c r="AD21" s="51" t="s">
        <v>135</v>
      </c>
      <c r="AE21" s="51" t="s">
        <v>126</v>
      </c>
      <c r="AF21" s="51" t="s">
        <v>140</v>
      </c>
    </row>
    <row r="22" spans="1:32">
      <c r="A22" s="5" t="s">
        <v>27</v>
      </c>
      <c r="B22" s="5"/>
      <c r="C22" s="5"/>
      <c r="D22" s="5"/>
      <c r="E22" s="5"/>
      <c r="F22" s="7"/>
      <c r="G22" s="7"/>
      <c r="H22" s="7"/>
      <c r="I22" s="57"/>
      <c r="J22" s="51"/>
      <c r="K22" s="51"/>
      <c r="L22" s="51" t="s">
        <v>150</v>
      </c>
      <c r="M22" s="51" t="s">
        <v>151</v>
      </c>
      <c r="N22" s="51">
        <v>2.7666666666666702</v>
      </c>
      <c r="O22" s="51">
        <v>83</v>
      </c>
      <c r="P22" s="53">
        <v>0.112162162162162</v>
      </c>
      <c r="Q22" s="51" t="s">
        <v>138</v>
      </c>
      <c r="R22" s="51" t="s">
        <v>140</v>
      </c>
      <c r="S22" s="51" t="s">
        <v>126</v>
      </c>
      <c r="T22" s="54" t="e">
        <f t="shared" si="0"/>
        <v>#VALUE!</v>
      </c>
      <c r="U22"/>
      <c r="V22" s="51"/>
      <c r="W22" s="51"/>
      <c r="X22" s="51"/>
      <c r="Y22" s="51" t="s">
        <v>150</v>
      </c>
      <c r="Z22" s="51" t="s">
        <v>151</v>
      </c>
      <c r="AA22" s="51">
        <v>2.56666666666667</v>
      </c>
      <c r="AB22" s="51">
        <v>77</v>
      </c>
      <c r="AC22" s="53">
        <v>0.10814606741573</v>
      </c>
      <c r="AD22" s="51" t="s">
        <v>138</v>
      </c>
      <c r="AE22" s="51" t="s">
        <v>126</v>
      </c>
      <c r="AF22" s="51" t="s">
        <v>140</v>
      </c>
    </row>
    <row r="23" spans="1:32">
      <c r="A23" s="7" t="s">
        <v>28</v>
      </c>
      <c r="B23" s="5"/>
      <c r="C23" s="7"/>
      <c r="D23" s="7"/>
      <c r="E23" s="16">
        <f>E20*E6</f>
        <v>61056.219241101717</v>
      </c>
      <c r="F23" s="5"/>
      <c r="G23" s="5"/>
      <c r="H23" s="5"/>
      <c r="I23" s="57"/>
      <c r="J23" s="51"/>
      <c r="K23" s="51"/>
      <c r="L23" s="51" t="s">
        <v>152</v>
      </c>
      <c r="M23" s="51" t="s">
        <v>153</v>
      </c>
      <c r="N23" s="51">
        <v>2</v>
      </c>
      <c r="O23" s="51">
        <v>60</v>
      </c>
      <c r="P23" s="53">
        <v>8.1081081081081099E-2</v>
      </c>
      <c r="Q23" s="51" t="s">
        <v>154</v>
      </c>
      <c r="R23" s="51" t="s">
        <v>140</v>
      </c>
      <c r="S23" s="51" t="s">
        <v>126</v>
      </c>
      <c r="T23" s="54" t="e">
        <f t="shared" si="0"/>
        <v>#VALUE!</v>
      </c>
      <c r="U23"/>
      <c r="V23" s="51"/>
      <c r="W23" s="51"/>
      <c r="X23" s="51"/>
      <c r="Y23" s="51" t="s">
        <v>152</v>
      </c>
      <c r="Z23" s="51" t="s">
        <v>153</v>
      </c>
      <c r="AA23" s="51">
        <v>2.0333333333333301</v>
      </c>
      <c r="AB23" s="51">
        <v>61</v>
      </c>
      <c r="AC23" s="53">
        <v>8.5674157303370801E-2</v>
      </c>
      <c r="AD23" s="51" t="s">
        <v>154</v>
      </c>
      <c r="AE23" s="51" t="s">
        <v>126</v>
      </c>
      <c r="AF23" s="51" t="s">
        <v>140</v>
      </c>
    </row>
    <row r="24" spans="1:32">
      <c r="A24" s="7"/>
      <c r="B24" s="5"/>
      <c r="C24" s="7"/>
      <c r="D24" s="7"/>
      <c r="E24" s="16"/>
      <c r="F24" s="7"/>
      <c r="G24" s="5"/>
      <c r="H24" s="5"/>
      <c r="I24" s="57"/>
      <c r="J24" s="51"/>
      <c r="K24" s="51"/>
      <c r="L24" s="51" t="s">
        <v>96</v>
      </c>
      <c r="M24" s="51" t="s">
        <v>97</v>
      </c>
      <c r="N24" s="51">
        <v>1.9666666666666699</v>
      </c>
      <c r="O24" s="51">
        <v>59</v>
      </c>
      <c r="P24" s="53">
        <v>7.9729729729729706E-2</v>
      </c>
      <c r="Q24" s="51" t="s">
        <v>98</v>
      </c>
      <c r="R24" s="51" t="s">
        <v>140</v>
      </c>
      <c r="S24" s="51" t="s">
        <v>126</v>
      </c>
      <c r="T24" s="54" t="e">
        <f t="shared" si="0"/>
        <v>#VALUE!</v>
      </c>
      <c r="U24"/>
      <c r="V24" s="51"/>
      <c r="W24" s="51"/>
      <c r="X24" s="51"/>
      <c r="Y24" s="51" t="s">
        <v>133</v>
      </c>
      <c r="Z24" s="51" t="s">
        <v>134</v>
      </c>
      <c r="AA24" s="51">
        <v>2.0333333333333301</v>
      </c>
      <c r="AB24" s="51">
        <v>61</v>
      </c>
      <c r="AC24" s="53">
        <v>8.5674157303370801E-2</v>
      </c>
      <c r="AD24" s="51" t="s">
        <v>135</v>
      </c>
      <c r="AE24" s="51" t="s">
        <v>126</v>
      </c>
      <c r="AF24" s="51" t="s">
        <v>140</v>
      </c>
    </row>
    <row r="25" spans="1:32" ht="15">
      <c r="A25" s="12" t="s">
        <v>29</v>
      </c>
      <c r="B25" s="5"/>
      <c r="C25" s="5"/>
      <c r="D25" s="5"/>
      <c r="E25" s="5"/>
      <c r="F25" s="7"/>
      <c r="G25" s="5"/>
      <c r="I25" s="57"/>
      <c r="J25" s="51"/>
      <c r="K25" s="51"/>
      <c r="L25" s="51" t="s">
        <v>133</v>
      </c>
      <c r="M25" s="51" t="s">
        <v>134</v>
      </c>
      <c r="N25" s="51">
        <v>1.86666666666667</v>
      </c>
      <c r="O25" s="51">
        <v>56</v>
      </c>
      <c r="P25" s="53">
        <v>7.5675675675675694E-2</v>
      </c>
      <c r="Q25" s="51" t="s">
        <v>135</v>
      </c>
      <c r="R25" s="51" t="s">
        <v>140</v>
      </c>
      <c r="S25" s="51" t="s">
        <v>126</v>
      </c>
      <c r="T25" s="54" t="e">
        <f t="shared" si="0"/>
        <v>#VALUE!</v>
      </c>
      <c r="U25"/>
      <c r="V25" s="51"/>
      <c r="W25" s="51"/>
      <c r="X25" s="51"/>
      <c r="Y25" s="51" t="s">
        <v>96</v>
      </c>
      <c r="Z25" s="51" t="s">
        <v>97</v>
      </c>
      <c r="AA25" s="51">
        <v>1.9666666666666699</v>
      </c>
      <c r="AB25" s="51">
        <v>59</v>
      </c>
      <c r="AC25" s="53">
        <v>8.2865168539325795E-2</v>
      </c>
      <c r="AD25" s="51" t="s">
        <v>98</v>
      </c>
      <c r="AE25" s="51" t="s">
        <v>126</v>
      </c>
      <c r="AF25" s="51" t="s">
        <v>140</v>
      </c>
    </row>
    <row r="26" spans="1:32">
      <c r="A26" s="7" t="s">
        <v>22</v>
      </c>
      <c r="B26" s="5"/>
      <c r="C26" s="7"/>
      <c r="D26" s="7">
        <f>E17*2</f>
        <v>12</v>
      </c>
      <c r="E26" s="7" t="s">
        <v>0</v>
      </c>
      <c r="F26" s="7"/>
      <c r="G26" s="5" t="s">
        <v>53</v>
      </c>
      <c r="I26" s="57"/>
      <c r="J26" s="51"/>
      <c r="K26" s="51"/>
      <c r="L26" s="51" t="s">
        <v>64</v>
      </c>
      <c r="M26" s="51"/>
      <c r="N26" s="51">
        <v>1.13333333333333</v>
      </c>
      <c r="O26" s="51">
        <v>34</v>
      </c>
      <c r="P26" s="53">
        <v>4.59459459459459E-2</v>
      </c>
      <c r="Q26" s="51"/>
      <c r="R26" s="51" t="s">
        <v>140</v>
      </c>
      <c r="S26" s="51" t="s">
        <v>126</v>
      </c>
      <c r="T26" s="54" t="e">
        <f t="shared" si="0"/>
        <v>#VALUE!</v>
      </c>
      <c r="U26"/>
      <c r="V26" s="51"/>
      <c r="W26" s="51"/>
      <c r="X26" s="51"/>
      <c r="Y26" s="51" t="s">
        <v>64</v>
      </c>
      <c r="Z26" s="51"/>
      <c r="AA26" s="51">
        <v>0.33333333333333298</v>
      </c>
      <c r="AB26" s="51">
        <v>10</v>
      </c>
      <c r="AC26" s="53">
        <v>1.40449438202247E-2</v>
      </c>
      <c r="AD26" s="51"/>
      <c r="AE26" s="51" t="s">
        <v>126</v>
      </c>
      <c r="AF26" s="51" t="s">
        <v>140</v>
      </c>
    </row>
    <row r="27" spans="1:32">
      <c r="A27" s="7" t="s">
        <v>57</v>
      </c>
      <c r="B27" s="5"/>
      <c r="C27" s="7"/>
      <c r="D27" s="79">
        <f>K8</f>
        <v>595</v>
      </c>
      <c r="E27" s="7"/>
      <c r="F27" s="7"/>
      <c r="G27" s="5" t="s">
        <v>39</v>
      </c>
      <c r="I27" s="57"/>
      <c r="J27" s="51"/>
      <c r="K27" s="51"/>
      <c r="L27" s="51"/>
      <c r="M27" s="51"/>
      <c r="N27" s="51"/>
      <c r="O27" s="51"/>
      <c r="P27" s="53"/>
      <c r="Q27" s="51"/>
      <c r="R27" s="51"/>
      <c r="S27" s="51"/>
      <c r="T27" s="54"/>
      <c r="U27"/>
      <c r="V27" s="51"/>
      <c r="W27" s="51"/>
      <c r="X27" s="51"/>
      <c r="Y27" s="51"/>
      <c r="Z27" s="51"/>
      <c r="AA27" s="51"/>
      <c r="AB27" s="51"/>
      <c r="AC27" s="53"/>
      <c r="AD27" s="51"/>
      <c r="AE27" s="51"/>
      <c r="AF27" s="51"/>
    </row>
    <row r="28" spans="1:32">
      <c r="A28" s="7" t="s">
        <v>23</v>
      </c>
      <c r="B28" s="5"/>
      <c r="C28" s="7"/>
      <c r="D28" s="17">
        <f>0.67+0.002*D27</f>
        <v>1.8599999999999999</v>
      </c>
      <c r="E28" s="7"/>
      <c r="F28" s="7"/>
      <c r="G28" s="7"/>
      <c r="H28" s="7"/>
      <c r="I28" s="57">
        <v>150</v>
      </c>
      <c r="J28" s="51" t="s">
        <v>140</v>
      </c>
      <c r="K28" s="51" t="s">
        <v>155</v>
      </c>
      <c r="L28" s="51" t="s">
        <v>95</v>
      </c>
      <c r="M28" s="51"/>
      <c r="N28" s="51">
        <v>15.9</v>
      </c>
      <c r="O28" s="51">
        <v>477</v>
      </c>
      <c r="P28" s="53"/>
      <c r="Q28" s="51"/>
      <c r="R28" s="51" t="s">
        <v>140</v>
      </c>
      <c r="S28" s="51" t="s">
        <v>155</v>
      </c>
      <c r="T28" s="54" t="e">
        <f t="shared" si="0"/>
        <v>#VALUE!</v>
      </c>
      <c r="U28"/>
      <c r="V28" s="51">
        <v>149</v>
      </c>
      <c r="W28" s="51" t="s">
        <v>155</v>
      </c>
      <c r="X28" s="51" t="s">
        <v>140</v>
      </c>
      <c r="Y28" s="51" t="s">
        <v>95</v>
      </c>
      <c r="Z28" s="51"/>
      <c r="AA28" s="51">
        <v>15.9333333333333</v>
      </c>
      <c r="AB28" s="51">
        <v>478</v>
      </c>
      <c r="AC28" s="53"/>
      <c r="AD28" s="51"/>
      <c r="AE28" s="51" t="s">
        <v>155</v>
      </c>
      <c r="AF28" s="51" t="s">
        <v>140</v>
      </c>
    </row>
    <row r="29" spans="1:32">
      <c r="A29" s="7" t="s">
        <v>30</v>
      </c>
      <c r="B29" s="5"/>
      <c r="C29" s="7"/>
      <c r="D29" s="17">
        <f>D26*D28</f>
        <v>22.32</v>
      </c>
      <c r="E29" s="7"/>
      <c r="F29" s="7"/>
      <c r="G29" s="5"/>
      <c r="I29" s="57"/>
      <c r="J29" s="51"/>
      <c r="K29" s="51"/>
      <c r="L29" s="51" t="s">
        <v>156</v>
      </c>
      <c r="M29" s="51" t="s">
        <v>157</v>
      </c>
      <c r="N29" s="51">
        <v>7.3666666666666698</v>
      </c>
      <c r="O29" s="51">
        <v>221</v>
      </c>
      <c r="P29" s="53">
        <v>0.46331236897274602</v>
      </c>
      <c r="Q29" s="51" t="s">
        <v>158</v>
      </c>
      <c r="R29" s="51" t="s">
        <v>140</v>
      </c>
      <c r="S29" s="51" t="s">
        <v>155</v>
      </c>
      <c r="T29" s="54" t="e">
        <f t="shared" si="0"/>
        <v>#VALUE!</v>
      </c>
      <c r="U29"/>
      <c r="V29" s="51"/>
      <c r="W29" s="51"/>
      <c r="X29" s="51"/>
      <c r="Y29" s="51" t="s">
        <v>156</v>
      </c>
      <c r="Z29" s="51" t="s">
        <v>157</v>
      </c>
      <c r="AA29" s="51">
        <v>7.4</v>
      </c>
      <c r="AB29" s="51">
        <v>222</v>
      </c>
      <c r="AC29" s="53">
        <v>0.46443514644351502</v>
      </c>
      <c r="AD29" s="51" t="s">
        <v>158</v>
      </c>
      <c r="AE29" s="51" t="s">
        <v>155</v>
      </c>
      <c r="AF29" s="51" t="s">
        <v>140</v>
      </c>
    </row>
    <row r="30" spans="1:32">
      <c r="E30" s="7"/>
      <c r="I30" s="57"/>
      <c r="J30" s="51"/>
      <c r="K30" s="51"/>
      <c r="L30" s="51" t="s">
        <v>133</v>
      </c>
      <c r="M30" s="51" t="s">
        <v>134</v>
      </c>
      <c r="N30" s="51">
        <v>3.7</v>
      </c>
      <c r="O30" s="51">
        <v>111</v>
      </c>
      <c r="P30" s="53">
        <v>0.232704402515723</v>
      </c>
      <c r="Q30" s="51" t="s">
        <v>135</v>
      </c>
      <c r="R30" s="51" t="s">
        <v>140</v>
      </c>
      <c r="S30" s="51" t="s">
        <v>155</v>
      </c>
      <c r="T30" s="54" t="e">
        <f t="shared" si="0"/>
        <v>#VALUE!</v>
      </c>
      <c r="U30"/>
      <c r="V30" s="51"/>
      <c r="W30" s="51"/>
      <c r="X30" s="51"/>
      <c r="Y30" s="51" t="s">
        <v>133</v>
      </c>
      <c r="Z30" s="51" t="s">
        <v>134</v>
      </c>
      <c r="AA30" s="51">
        <v>3.7333333333333298</v>
      </c>
      <c r="AB30" s="51">
        <v>112</v>
      </c>
      <c r="AC30" s="53">
        <v>0.23430962343096201</v>
      </c>
      <c r="AD30" s="51" t="s">
        <v>135</v>
      </c>
      <c r="AE30" s="51" t="s">
        <v>155</v>
      </c>
      <c r="AF30" s="51" t="s">
        <v>140</v>
      </c>
    </row>
    <row r="31" spans="1:32">
      <c r="A31" s="2"/>
      <c r="B31" s="2"/>
      <c r="C31" s="2"/>
      <c r="D31" s="2"/>
      <c r="E31" s="2"/>
      <c r="F31" s="2"/>
      <c r="G31" s="2"/>
      <c r="H31" s="2"/>
      <c r="I31" s="57"/>
      <c r="J31" s="51"/>
      <c r="K31" s="51"/>
      <c r="L31" s="51" t="s">
        <v>144</v>
      </c>
      <c r="M31" s="51" t="s">
        <v>145</v>
      </c>
      <c r="N31" s="51">
        <v>2.93333333333333</v>
      </c>
      <c r="O31" s="51">
        <v>88</v>
      </c>
      <c r="P31" s="53">
        <v>0.184486373165618</v>
      </c>
      <c r="Q31" s="51" t="s">
        <v>159</v>
      </c>
      <c r="R31" s="51" t="s">
        <v>140</v>
      </c>
      <c r="S31" s="51" t="s">
        <v>155</v>
      </c>
      <c r="T31" s="54" t="e">
        <f t="shared" si="0"/>
        <v>#VALUE!</v>
      </c>
      <c r="U31"/>
      <c r="V31" s="51"/>
      <c r="W31" s="51"/>
      <c r="X31" s="51"/>
      <c r="Y31" s="51" t="s">
        <v>144</v>
      </c>
      <c r="Z31" s="51" t="s">
        <v>145</v>
      </c>
      <c r="AA31" s="51">
        <v>2.93333333333333</v>
      </c>
      <c r="AB31" s="51">
        <v>88</v>
      </c>
      <c r="AC31" s="53">
        <v>0.18410041841004199</v>
      </c>
      <c r="AD31" s="51" t="s">
        <v>159</v>
      </c>
      <c r="AE31" s="51" t="s">
        <v>155</v>
      </c>
      <c r="AF31" s="51" t="s">
        <v>140</v>
      </c>
    </row>
    <row r="32" spans="1:32">
      <c r="I32" s="57"/>
      <c r="J32" s="51"/>
      <c r="K32" s="51"/>
      <c r="L32" s="51" t="s">
        <v>160</v>
      </c>
      <c r="M32" s="51" t="s">
        <v>161</v>
      </c>
      <c r="N32" s="51">
        <v>1</v>
      </c>
      <c r="O32" s="51">
        <v>30</v>
      </c>
      <c r="P32" s="53">
        <v>6.2893081761006303E-2</v>
      </c>
      <c r="Q32" s="51" t="s">
        <v>162</v>
      </c>
      <c r="R32" s="51" t="s">
        <v>140</v>
      </c>
      <c r="S32" s="51" t="s">
        <v>155</v>
      </c>
      <c r="T32" s="54" t="e">
        <f t="shared" si="0"/>
        <v>#VALUE!</v>
      </c>
      <c r="U32"/>
      <c r="V32" s="51"/>
      <c r="W32" s="51"/>
      <c r="X32" s="51"/>
      <c r="Y32" s="51" t="s">
        <v>160</v>
      </c>
      <c r="Z32" s="51" t="s">
        <v>161</v>
      </c>
      <c r="AA32" s="51">
        <v>1</v>
      </c>
      <c r="AB32" s="51">
        <v>30</v>
      </c>
      <c r="AC32" s="53">
        <v>6.2761506276150597E-2</v>
      </c>
      <c r="AD32" s="51" t="s">
        <v>162</v>
      </c>
      <c r="AE32" s="51" t="s">
        <v>155</v>
      </c>
      <c r="AF32" s="51" t="s">
        <v>140</v>
      </c>
    </row>
    <row r="33" spans="1:32" ht="15.75" thickBot="1">
      <c r="A33" s="21" t="s">
        <v>32</v>
      </c>
      <c r="B33" s="7"/>
      <c r="C33" s="7"/>
      <c r="D33" s="7"/>
      <c r="E33" s="7"/>
      <c r="F33" s="2"/>
      <c r="G33" s="22" t="s">
        <v>1</v>
      </c>
      <c r="H33" s="22" t="s">
        <v>179</v>
      </c>
      <c r="I33" s="57"/>
      <c r="J33" s="51"/>
      <c r="K33" s="51"/>
      <c r="L33" s="51" t="s">
        <v>152</v>
      </c>
      <c r="M33" s="51" t="s">
        <v>153</v>
      </c>
      <c r="N33" s="51">
        <v>0.83333333333333304</v>
      </c>
      <c r="O33" s="51">
        <v>25</v>
      </c>
      <c r="P33" s="53">
        <v>5.2410901467505197E-2</v>
      </c>
      <c r="Q33" s="51" t="s">
        <v>163</v>
      </c>
      <c r="R33" s="51" t="s">
        <v>140</v>
      </c>
      <c r="S33" s="51" t="s">
        <v>155</v>
      </c>
      <c r="T33" s="54" t="e">
        <f t="shared" si="0"/>
        <v>#VALUE!</v>
      </c>
      <c r="U33"/>
      <c r="V33" s="51"/>
      <c r="W33" s="51"/>
      <c r="X33" s="51"/>
      <c r="Y33" s="51" t="s">
        <v>152</v>
      </c>
      <c r="Z33" s="51" t="s">
        <v>153</v>
      </c>
      <c r="AA33" s="51">
        <v>0.86666666666666703</v>
      </c>
      <c r="AB33" s="51">
        <v>26</v>
      </c>
      <c r="AC33" s="53">
        <v>5.4393305439330498E-2</v>
      </c>
      <c r="AD33" s="51" t="s">
        <v>163</v>
      </c>
      <c r="AE33" s="51" t="s">
        <v>155</v>
      </c>
      <c r="AF33" s="51" t="s">
        <v>140</v>
      </c>
    </row>
    <row r="34" spans="1:32" ht="15.75" thickBot="1">
      <c r="A34" s="22" t="s">
        <v>1</v>
      </c>
      <c r="B34" s="22"/>
      <c r="C34" s="22" t="s">
        <v>179</v>
      </c>
      <c r="D34" s="22"/>
      <c r="E34" s="5"/>
      <c r="F34" s="2"/>
      <c r="G34" s="7" t="s">
        <v>2</v>
      </c>
      <c r="H34" s="27">
        <f>C35</f>
        <v>70</v>
      </c>
      <c r="I34" s="57"/>
      <c r="J34" s="51"/>
      <c r="K34" s="51"/>
      <c r="L34" s="51" t="s">
        <v>64</v>
      </c>
      <c r="M34" s="51"/>
      <c r="N34" s="51">
        <v>6.6666666666666693E-2</v>
      </c>
      <c r="O34" s="51">
        <v>2</v>
      </c>
      <c r="P34" s="53">
        <v>4.1928721174004204E-3</v>
      </c>
      <c r="Q34" s="51"/>
      <c r="R34" s="51" t="s">
        <v>140</v>
      </c>
      <c r="S34" s="51" t="s">
        <v>155</v>
      </c>
      <c r="T34" s="54" t="e">
        <f t="shared" si="0"/>
        <v>#VALUE!</v>
      </c>
      <c r="U34"/>
      <c r="V34"/>
      <c r="W34"/>
      <c r="X34"/>
      <c r="Y34"/>
      <c r="Z34"/>
      <c r="AA34"/>
      <c r="AB34"/>
      <c r="AC34" s="55"/>
      <c r="AD34"/>
      <c r="AE34"/>
      <c r="AF34"/>
    </row>
    <row r="35" spans="1:32">
      <c r="A35" s="7" t="s">
        <v>2</v>
      </c>
      <c r="B35" s="7"/>
      <c r="C35" s="7">
        <v>70</v>
      </c>
      <c r="D35" s="7"/>
      <c r="E35" s="5"/>
      <c r="F35" s="2"/>
      <c r="G35" s="7" t="s">
        <v>31</v>
      </c>
      <c r="H35" s="28">
        <f>E21*D27</f>
        <v>324361.16471835284</v>
      </c>
    </row>
    <row r="36" spans="1:32">
      <c r="A36" s="7"/>
      <c r="B36" s="5"/>
      <c r="C36" s="7"/>
      <c r="D36" s="7"/>
      <c r="E36" s="5"/>
      <c r="F36" s="2"/>
      <c r="G36" s="7" t="s">
        <v>36</v>
      </c>
      <c r="H36" s="29">
        <f>C35*D26*D27</f>
        <v>499800</v>
      </c>
    </row>
    <row r="37" spans="1:32">
      <c r="A37" s="23" t="s">
        <v>33</v>
      </c>
      <c r="B37" s="5"/>
      <c r="C37" s="7"/>
      <c r="D37" s="7"/>
      <c r="E37" s="5"/>
      <c r="F37" s="2"/>
      <c r="G37" s="7" t="s">
        <v>24</v>
      </c>
      <c r="H37" s="27">
        <f>$D26*C35</f>
        <v>840</v>
      </c>
    </row>
    <row r="38" spans="1:32">
      <c r="A38" s="7" t="s">
        <v>181</v>
      </c>
      <c r="B38" s="7"/>
      <c r="C38" s="7">
        <v>296</v>
      </c>
      <c r="D38" s="7" t="s">
        <v>182</v>
      </c>
      <c r="E38" s="5"/>
      <c r="F38" s="2"/>
      <c r="G38" s="7" t="s">
        <v>3</v>
      </c>
      <c r="H38" s="29">
        <f>$E21</f>
        <v>545.14481465269387</v>
      </c>
    </row>
    <row r="39" spans="1:32" ht="15">
      <c r="A39" s="7" t="s">
        <v>183</v>
      </c>
      <c r="B39" s="7"/>
      <c r="C39" s="7">
        <v>800</v>
      </c>
      <c r="D39" s="7" t="s">
        <v>182</v>
      </c>
      <c r="E39" s="5"/>
      <c r="F39" s="2"/>
      <c r="G39" s="19" t="s">
        <v>4</v>
      </c>
      <c r="H39" s="30">
        <f>H38/H37</f>
        <v>0.64898192220558792</v>
      </c>
    </row>
    <row r="40" spans="1:32">
      <c r="A40" s="7" t="s">
        <v>184</v>
      </c>
      <c r="B40" s="7"/>
      <c r="C40" s="7">
        <v>361</v>
      </c>
      <c r="D40" s="7" t="s">
        <v>182</v>
      </c>
      <c r="E40" s="5"/>
      <c r="F40" s="2"/>
      <c r="G40" s="7" t="s">
        <v>181</v>
      </c>
      <c r="H40" s="82">
        <f>C38*D29</f>
        <v>6606.72</v>
      </c>
    </row>
    <row r="41" spans="1:32">
      <c r="A41" s="1" t="s">
        <v>185</v>
      </c>
      <c r="C41" s="1">
        <v>8</v>
      </c>
      <c r="D41" s="7" t="s">
        <v>182</v>
      </c>
      <c r="E41" s="7"/>
      <c r="F41" s="2"/>
      <c r="G41" s="7" t="s">
        <v>183</v>
      </c>
      <c r="H41" s="82">
        <f>C39*D29</f>
        <v>17856</v>
      </c>
    </row>
    <row r="42" spans="1:32">
      <c r="A42" s="1" t="s">
        <v>186</v>
      </c>
      <c r="C42" s="1">
        <v>14</v>
      </c>
      <c r="D42" s="7" t="s">
        <v>182</v>
      </c>
      <c r="E42" s="7"/>
      <c r="F42" s="2"/>
      <c r="G42" s="7" t="s">
        <v>184</v>
      </c>
      <c r="H42" s="82">
        <f>C40*D29</f>
        <v>8057.52</v>
      </c>
    </row>
    <row r="43" spans="1:32">
      <c r="A43" s="1" t="s">
        <v>187</v>
      </c>
      <c r="C43" s="1">
        <v>318</v>
      </c>
      <c r="D43" s="7" t="s">
        <v>182</v>
      </c>
      <c r="E43" s="7"/>
      <c r="F43" s="2"/>
      <c r="G43" s="1" t="s">
        <v>185</v>
      </c>
      <c r="H43" s="82">
        <f>C41*D29</f>
        <v>178.56</v>
      </c>
    </row>
    <row r="44" spans="1:32">
      <c r="A44" s="1" t="s">
        <v>188</v>
      </c>
      <c r="C44" s="1">
        <v>30</v>
      </c>
      <c r="D44" s="7" t="s">
        <v>182</v>
      </c>
      <c r="E44" s="7"/>
      <c r="F44" s="2"/>
      <c r="G44" s="1" t="s">
        <v>186</v>
      </c>
      <c r="H44" s="82">
        <f>C42*D29</f>
        <v>312.48</v>
      </c>
    </row>
    <row r="45" spans="1:32">
      <c r="A45" s="1" t="s">
        <v>64</v>
      </c>
      <c r="C45" s="1">
        <v>19</v>
      </c>
      <c r="D45" s="7" t="s">
        <v>182</v>
      </c>
      <c r="E45" s="7"/>
      <c r="F45" s="2"/>
      <c r="G45" s="1" t="s">
        <v>187</v>
      </c>
      <c r="H45" s="82">
        <f>C43*D29</f>
        <v>7097.76</v>
      </c>
    </row>
    <row r="46" spans="1:32" ht="15">
      <c r="A46" s="10" t="s">
        <v>189</v>
      </c>
      <c r="C46" s="1">
        <f>SUM(C38:C45)</f>
        <v>1846</v>
      </c>
      <c r="D46" s="7" t="s">
        <v>182</v>
      </c>
      <c r="E46" s="7"/>
      <c r="G46" s="1" t="s">
        <v>188</v>
      </c>
      <c r="H46" s="82">
        <f>C44*D29</f>
        <v>669.6</v>
      </c>
    </row>
    <row r="47" spans="1:32">
      <c r="D47" s="2"/>
      <c r="G47" s="1" t="s">
        <v>64</v>
      </c>
      <c r="H47" s="82">
        <f>C45*D29</f>
        <v>424.08</v>
      </c>
    </row>
    <row r="48" spans="1:32">
      <c r="A48" s="23" t="s">
        <v>6</v>
      </c>
      <c r="B48" s="7"/>
      <c r="C48" s="7"/>
      <c r="G48" s="7" t="s">
        <v>37</v>
      </c>
      <c r="H48" s="29">
        <f>C46*$D26*$D28</f>
        <v>41202.719999999994</v>
      </c>
    </row>
    <row r="49" spans="1:8">
      <c r="A49" s="7" t="s">
        <v>10</v>
      </c>
      <c r="B49" s="24">
        <v>0.01</v>
      </c>
      <c r="C49" s="7" t="s">
        <v>11</v>
      </c>
      <c r="G49" s="7" t="s">
        <v>5</v>
      </c>
      <c r="H49" s="29">
        <f>$B49*H35</f>
        <v>3243.6116471835285</v>
      </c>
    </row>
    <row r="50" spans="1:8">
      <c r="A50" s="7" t="s">
        <v>13</v>
      </c>
      <c r="B50" s="25">
        <v>10</v>
      </c>
      <c r="C50" s="7" t="s">
        <v>14</v>
      </c>
      <c r="G50" s="7" t="s">
        <v>7</v>
      </c>
      <c r="H50" s="29">
        <f>$B50*H38</f>
        <v>5451.4481465269382</v>
      </c>
    </row>
    <row r="51" spans="1:8">
      <c r="A51" s="7" t="s">
        <v>15</v>
      </c>
      <c r="B51" s="25">
        <v>750</v>
      </c>
      <c r="C51" s="7" t="s">
        <v>16</v>
      </c>
      <c r="G51" s="7" t="s">
        <v>8</v>
      </c>
      <c r="H51" s="29">
        <f>$B51*$D26</f>
        <v>9000</v>
      </c>
    </row>
    <row r="52" spans="1:8">
      <c r="A52" s="7" t="s">
        <v>17</v>
      </c>
      <c r="B52" s="14">
        <v>0.09</v>
      </c>
      <c r="C52" s="7" t="s">
        <v>18</v>
      </c>
      <c r="G52" s="7" t="s">
        <v>9</v>
      </c>
      <c r="H52" s="29">
        <f>$B52*$E23</f>
        <v>5495.0597316991543</v>
      </c>
    </row>
    <row r="53" spans="1:8">
      <c r="A53" s="7" t="s">
        <v>19</v>
      </c>
      <c r="B53" s="26">
        <v>2E-3</v>
      </c>
      <c r="C53" s="7" t="s">
        <v>20</v>
      </c>
      <c r="G53" s="7" t="s">
        <v>12</v>
      </c>
      <c r="H53" s="29">
        <f>$B53*H36</f>
        <v>999.6</v>
      </c>
    </row>
    <row r="54" spans="1:8" ht="15">
      <c r="G54" s="19" t="s">
        <v>34</v>
      </c>
      <c r="H54" s="31">
        <f>SUM(H48:H53)</f>
        <v>65392.439525409616</v>
      </c>
    </row>
    <row r="55" spans="1:8" ht="15">
      <c r="G55" s="4" t="s">
        <v>35</v>
      </c>
      <c r="H55" s="32">
        <f>H54/H36</f>
        <v>0.1308372139363938</v>
      </c>
    </row>
    <row r="56" spans="1:8" ht="15">
      <c r="G56" s="10" t="s">
        <v>71</v>
      </c>
      <c r="H56" s="91">
        <f>E23</f>
        <v>61056.219241101717</v>
      </c>
    </row>
    <row r="57" spans="1:8" ht="15">
      <c r="G57" s="19" t="s">
        <v>21</v>
      </c>
      <c r="H57" s="31">
        <f>H56-H54</f>
        <v>-4336.2202843078994</v>
      </c>
    </row>
    <row r="58" spans="1:8" ht="15">
      <c r="G58" s="4" t="s">
        <v>25</v>
      </c>
      <c r="H58" s="83">
        <f>H57/H56</f>
        <v>-7.1020124373977783E-2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J2" sqref="J2:J27"/>
    </sheetView>
  </sheetViews>
  <sheetFormatPr defaultRowHeight="12.75"/>
  <cols>
    <col min="7" max="7" width="22.42578125" customWidth="1"/>
    <col min="8" max="8" width="15.5703125" customWidth="1"/>
    <col min="9" max="9" width="13.7109375" customWidth="1"/>
    <col min="10" max="10" width="13.140625" customWidth="1"/>
    <col min="11" max="11" width="18" customWidth="1"/>
  </cols>
  <sheetData>
    <row r="1" spans="1:12" ht="15">
      <c r="A1" s="21" t="s">
        <v>32</v>
      </c>
      <c r="B1" s="7"/>
      <c r="C1" s="7"/>
      <c r="D1" s="7"/>
      <c r="E1" s="7"/>
      <c r="F1" s="1"/>
      <c r="G1" s="1"/>
      <c r="H1" s="1" t="s">
        <v>175</v>
      </c>
      <c r="I1" s="43" t="s">
        <v>176</v>
      </c>
      <c r="J1" s="43" t="s">
        <v>177</v>
      </c>
    </row>
    <row r="2" spans="1:12" ht="15.75" thickBot="1">
      <c r="A2" s="22" t="s">
        <v>1</v>
      </c>
      <c r="B2" s="22"/>
      <c r="C2" s="22" t="s">
        <v>179</v>
      </c>
      <c r="D2" s="22"/>
      <c r="E2" s="5"/>
      <c r="F2" s="2"/>
      <c r="G2" s="22" t="s">
        <v>1</v>
      </c>
      <c r="H2" s="22" t="s">
        <v>179</v>
      </c>
      <c r="I2" s="22" t="s">
        <v>179</v>
      </c>
      <c r="J2" s="22" t="s">
        <v>179</v>
      </c>
      <c r="K2" s="10" t="s">
        <v>58</v>
      </c>
    </row>
    <row r="3" spans="1:12" ht="14.25">
      <c r="A3" s="7" t="s">
        <v>2</v>
      </c>
      <c r="B3" s="7"/>
      <c r="C3" s="7">
        <v>70</v>
      </c>
      <c r="D3" s="7"/>
      <c r="E3" s="5"/>
      <c r="F3" s="2"/>
      <c r="G3" s="7" t="s">
        <v>2</v>
      </c>
      <c r="H3" s="27">
        <v>70</v>
      </c>
      <c r="I3" s="27">
        <v>70</v>
      </c>
      <c r="J3" s="27">
        <v>70</v>
      </c>
      <c r="K3" s="1"/>
    </row>
    <row r="4" spans="1:12" ht="14.25">
      <c r="A4" s="7"/>
      <c r="B4" s="5"/>
      <c r="C4" s="7"/>
      <c r="D4" s="7"/>
      <c r="E4" s="5"/>
      <c r="F4" s="2"/>
      <c r="G4" s="7" t="s">
        <v>31</v>
      </c>
      <c r="H4" s="28">
        <v>164193.07261471116</v>
      </c>
      <c r="I4" s="28">
        <v>319491.06206672086</v>
      </c>
      <c r="J4" s="28">
        <v>324361.16471835284</v>
      </c>
      <c r="K4" s="84">
        <f>SUM(H4:J4)</f>
        <v>808045.29939978488</v>
      </c>
    </row>
    <row r="5" spans="1:12" ht="14.25">
      <c r="A5" s="23" t="s">
        <v>33</v>
      </c>
      <c r="B5" s="5"/>
      <c r="C5" s="7"/>
      <c r="D5" s="7"/>
      <c r="E5" s="5"/>
      <c r="F5" s="2"/>
      <c r="G5" s="7" t="s">
        <v>36</v>
      </c>
      <c r="H5" s="29">
        <v>308280</v>
      </c>
      <c r="I5" s="29">
        <v>563500</v>
      </c>
      <c r="J5" s="29">
        <v>499800</v>
      </c>
      <c r="K5" s="84">
        <f>SUM(H5:J5)</f>
        <v>1371580</v>
      </c>
    </row>
    <row r="6" spans="1:12" ht="14.25">
      <c r="A6" s="7" t="s">
        <v>181</v>
      </c>
      <c r="B6" s="7"/>
      <c r="C6" s="7">
        <v>296</v>
      </c>
      <c r="D6" s="7" t="s">
        <v>182</v>
      </c>
      <c r="E6" s="5"/>
      <c r="F6" s="2"/>
      <c r="G6" s="7" t="s">
        <v>24</v>
      </c>
      <c r="H6" s="27">
        <v>420</v>
      </c>
      <c r="I6" s="27">
        <v>700</v>
      </c>
      <c r="J6" s="27">
        <v>840</v>
      </c>
      <c r="K6" s="84">
        <f>SUM(H6:J6)</f>
        <v>1960</v>
      </c>
    </row>
    <row r="7" spans="1:12" ht="14.25">
      <c r="A7" s="7" t="s">
        <v>183</v>
      </c>
      <c r="B7" s="7"/>
      <c r="C7" s="7">
        <v>800</v>
      </c>
      <c r="D7" s="7" t="s">
        <v>182</v>
      </c>
      <c r="E7" s="5"/>
      <c r="F7" s="2"/>
      <c r="G7" s="7" t="s">
        <v>3</v>
      </c>
      <c r="H7" s="29">
        <v>223.69628421622772</v>
      </c>
      <c r="I7" s="29">
        <v>396.88330691518121</v>
      </c>
      <c r="J7" s="29">
        <v>545.14481465269387</v>
      </c>
      <c r="K7" s="84">
        <f>SUM(H7:J7)</f>
        <v>1165.7244057841028</v>
      </c>
    </row>
    <row r="8" spans="1:12" ht="15">
      <c r="A8" s="7" t="s">
        <v>184</v>
      </c>
      <c r="B8" s="7"/>
      <c r="C8" s="7">
        <v>361</v>
      </c>
      <c r="D8" s="7" t="s">
        <v>182</v>
      </c>
      <c r="E8" s="5"/>
      <c r="F8" s="2"/>
      <c r="G8" s="19" t="s">
        <v>4</v>
      </c>
      <c r="H8" s="30">
        <v>0.53261020051482788</v>
      </c>
      <c r="I8" s="30">
        <v>0.56697615273597313</v>
      </c>
      <c r="J8" s="30">
        <v>0.64898192220558792</v>
      </c>
      <c r="K8" s="85">
        <f>K7/K6</f>
        <v>0.59475734988984841</v>
      </c>
    </row>
    <row r="9" spans="1:12" ht="14.25">
      <c r="A9" s="1" t="s">
        <v>185</v>
      </c>
      <c r="B9" s="1"/>
      <c r="C9" s="1">
        <v>8</v>
      </c>
      <c r="D9" s="7" t="s">
        <v>182</v>
      </c>
      <c r="E9" s="7"/>
      <c r="F9" s="2"/>
      <c r="G9" s="7" t="s">
        <v>181</v>
      </c>
      <c r="H9" s="82">
        <v>3797.0879999999997</v>
      </c>
      <c r="I9" s="82">
        <v>6748.8000000000011</v>
      </c>
      <c r="J9" s="82">
        <v>6606.72</v>
      </c>
      <c r="K9" s="84">
        <f t="shared" ref="K9:K23" si="0">SUM(H9:J9)</f>
        <v>17152.608</v>
      </c>
    </row>
    <row r="10" spans="1:12" ht="14.25">
      <c r="A10" s="1" t="s">
        <v>186</v>
      </c>
      <c r="B10" s="1"/>
      <c r="C10" s="1">
        <v>14</v>
      </c>
      <c r="D10" s="7" t="s">
        <v>182</v>
      </c>
      <c r="E10" s="7"/>
      <c r="F10" s="2"/>
      <c r="G10" s="7" t="s">
        <v>183</v>
      </c>
      <c r="H10" s="82">
        <v>10262.4</v>
      </c>
      <c r="I10" s="82">
        <v>18240.000000000004</v>
      </c>
      <c r="J10" s="82">
        <v>17856</v>
      </c>
      <c r="K10" s="84">
        <f t="shared" si="0"/>
        <v>46358.400000000001</v>
      </c>
    </row>
    <row r="11" spans="1:12" ht="14.25">
      <c r="A11" s="1" t="s">
        <v>187</v>
      </c>
      <c r="B11" s="1"/>
      <c r="C11" s="1">
        <v>318</v>
      </c>
      <c r="D11" s="7" t="s">
        <v>182</v>
      </c>
      <c r="E11" s="7"/>
      <c r="F11" s="2"/>
      <c r="G11" s="7" t="s">
        <v>184</v>
      </c>
      <c r="H11" s="82">
        <v>4630.9079999999994</v>
      </c>
      <c r="I11" s="82">
        <v>8230.8000000000011</v>
      </c>
      <c r="J11" s="82">
        <v>8057.52</v>
      </c>
      <c r="K11" s="84">
        <f t="shared" si="0"/>
        <v>20919.228000000003</v>
      </c>
    </row>
    <row r="12" spans="1:12" ht="14.25">
      <c r="A12" s="1" t="s">
        <v>188</v>
      </c>
      <c r="B12" s="1"/>
      <c r="C12" s="1">
        <v>30</v>
      </c>
      <c r="D12" s="7" t="s">
        <v>182</v>
      </c>
      <c r="E12" s="7"/>
      <c r="F12" s="2"/>
      <c r="G12" s="1" t="s">
        <v>185</v>
      </c>
      <c r="H12" s="82">
        <v>102.624</v>
      </c>
      <c r="I12" s="82">
        <v>182.40000000000003</v>
      </c>
      <c r="J12" s="82">
        <v>178.56</v>
      </c>
      <c r="K12" s="84">
        <f t="shared" si="0"/>
        <v>463.584</v>
      </c>
    </row>
    <row r="13" spans="1:12" ht="14.25">
      <c r="A13" s="1" t="s">
        <v>64</v>
      </c>
      <c r="B13" s="1"/>
      <c r="C13" s="1">
        <v>19</v>
      </c>
      <c r="D13" s="7" t="s">
        <v>182</v>
      </c>
      <c r="E13" s="7"/>
      <c r="F13" s="2"/>
      <c r="G13" s="1" t="s">
        <v>186</v>
      </c>
      <c r="H13" s="82">
        <v>179.59199999999998</v>
      </c>
      <c r="I13" s="82">
        <v>319.20000000000005</v>
      </c>
      <c r="J13" s="82">
        <v>312.48</v>
      </c>
      <c r="K13" s="84">
        <f t="shared" si="0"/>
        <v>811.27200000000005</v>
      </c>
    </row>
    <row r="14" spans="1:12" ht="15">
      <c r="A14" s="10" t="s">
        <v>189</v>
      </c>
      <c r="B14" s="1"/>
      <c r="C14" s="1">
        <v>1846</v>
      </c>
      <c r="D14" s="7" t="s">
        <v>182</v>
      </c>
      <c r="E14" s="7"/>
      <c r="F14" s="2"/>
      <c r="G14" s="1" t="s">
        <v>187</v>
      </c>
      <c r="H14" s="82">
        <v>4079.3039999999996</v>
      </c>
      <c r="I14" s="82">
        <v>7250.4000000000015</v>
      </c>
      <c r="J14" s="82">
        <v>7097.76</v>
      </c>
      <c r="K14" s="84">
        <f t="shared" si="0"/>
        <v>18427.464</v>
      </c>
    </row>
    <row r="15" spans="1:12" ht="14.25">
      <c r="A15" s="1"/>
      <c r="B15" s="1"/>
      <c r="C15" s="1"/>
      <c r="D15" s="2"/>
      <c r="E15" s="1"/>
      <c r="F15" s="1"/>
      <c r="G15" s="1" t="s">
        <v>188</v>
      </c>
      <c r="H15" s="82">
        <v>384.84</v>
      </c>
      <c r="I15" s="82">
        <v>684.00000000000011</v>
      </c>
      <c r="J15" s="82">
        <v>669.6</v>
      </c>
      <c r="K15" s="84">
        <f t="shared" si="0"/>
        <v>1738.44</v>
      </c>
      <c r="L15" s="90">
        <f>K14+K15</f>
        <v>20165.903999999999</v>
      </c>
    </row>
    <row r="16" spans="1:12" ht="14.25">
      <c r="A16" s="23" t="s">
        <v>6</v>
      </c>
      <c r="B16" s="7"/>
      <c r="C16" s="7"/>
      <c r="D16" s="1"/>
      <c r="E16" s="1"/>
      <c r="F16" s="1"/>
      <c r="G16" s="1" t="s">
        <v>64</v>
      </c>
      <c r="H16" s="82">
        <v>243.732</v>
      </c>
      <c r="I16" s="82">
        <v>433.2000000000001</v>
      </c>
      <c r="J16" s="82">
        <v>424.08</v>
      </c>
      <c r="K16" s="84">
        <f t="shared" si="0"/>
        <v>1101.0120000000002</v>
      </c>
      <c r="L16" s="90">
        <f>K16+K12+K13</f>
        <v>2375.8680000000004</v>
      </c>
    </row>
    <row r="17" spans="1:11" ht="14.25">
      <c r="A17" s="7" t="s">
        <v>10</v>
      </c>
      <c r="B17" s="24">
        <v>8.0000000000000002E-3</v>
      </c>
      <c r="C17" s="7" t="s">
        <v>11</v>
      </c>
      <c r="D17" s="1"/>
      <c r="E17" s="1"/>
      <c r="F17" s="1"/>
      <c r="G17" s="7" t="s">
        <v>37</v>
      </c>
      <c r="H17" s="29">
        <v>23680.487999999998</v>
      </c>
      <c r="I17" s="29">
        <v>42088.800000000003</v>
      </c>
      <c r="J17" s="29">
        <v>41202.719999999994</v>
      </c>
      <c r="K17" s="84">
        <f t="shared" si="0"/>
        <v>106972.008</v>
      </c>
    </row>
    <row r="18" spans="1:11" ht="14.25">
      <c r="A18" s="7" t="s">
        <v>13</v>
      </c>
      <c r="B18" s="25">
        <v>10</v>
      </c>
      <c r="C18" s="7" t="s">
        <v>14</v>
      </c>
      <c r="D18" s="1"/>
      <c r="E18" s="1"/>
      <c r="F18" s="1"/>
      <c r="G18" s="7" t="s">
        <v>5</v>
      </c>
      <c r="H18" s="29">
        <v>1641.9307261471115</v>
      </c>
      <c r="I18" s="29">
        <v>3194.9106206672086</v>
      </c>
      <c r="J18" s="29">
        <v>3243.6116471835285</v>
      </c>
      <c r="K18" s="84">
        <f t="shared" si="0"/>
        <v>8080.4529939978484</v>
      </c>
    </row>
    <row r="19" spans="1:11" ht="14.25">
      <c r="A19" s="7" t="s">
        <v>15</v>
      </c>
      <c r="B19" s="25">
        <v>750</v>
      </c>
      <c r="C19" s="7" t="s">
        <v>16</v>
      </c>
      <c r="D19" s="1"/>
      <c r="E19" s="1"/>
      <c r="F19" s="1"/>
      <c r="G19" s="7" t="s">
        <v>7</v>
      </c>
      <c r="H19" s="29">
        <v>2236.9628421622774</v>
      </c>
      <c r="I19" s="29">
        <v>3968.8330691518122</v>
      </c>
      <c r="J19" s="29">
        <v>5451.4481465269382</v>
      </c>
      <c r="K19" s="84">
        <f t="shared" si="0"/>
        <v>11657.244057841028</v>
      </c>
    </row>
    <row r="20" spans="1:11" ht="14.25">
      <c r="A20" s="7" t="s">
        <v>17</v>
      </c>
      <c r="B20" s="14">
        <v>0.09</v>
      </c>
      <c r="C20" s="7" t="s">
        <v>18</v>
      </c>
      <c r="D20" s="1"/>
      <c r="E20" s="1"/>
      <c r="F20" s="1"/>
      <c r="G20" s="7" t="s">
        <v>8</v>
      </c>
      <c r="H20" s="29">
        <v>4500</v>
      </c>
      <c r="I20" s="29">
        <v>7500</v>
      </c>
      <c r="J20" s="29">
        <v>9000</v>
      </c>
      <c r="K20" s="84">
        <f t="shared" si="0"/>
        <v>21000</v>
      </c>
    </row>
    <row r="21" spans="1:11" ht="14.25">
      <c r="A21" s="7" t="s">
        <v>19</v>
      </c>
      <c r="B21" s="26">
        <v>2E-3</v>
      </c>
      <c r="C21" s="7" t="s">
        <v>20</v>
      </c>
      <c r="D21" s="1"/>
      <c r="E21" s="1"/>
      <c r="F21" s="1"/>
      <c r="G21" s="7" t="s">
        <v>9</v>
      </c>
      <c r="H21" s="29">
        <v>2456.1852006941804</v>
      </c>
      <c r="I21" s="29">
        <v>5465.0831362220451</v>
      </c>
      <c r="J21" s="29">
        <v>5495.0597316991543</v>
      </c>
      <c r="K21" s="84">
        <f t="shared" si="0"/>
        <v>13416.328068615381</v>
      </c>
    </row>
    <row r="22" spans="1:11" ht="14.25">
      <c r="A22" s="1"/>
      <c r="B22" s="1"/>
      <c r="C22" s="1"/>
      <c r="D22" s="1"/>
      <c r="E22" s="1"/>
      <c r="F22" s="1"/>
      <c r="G22" s="7" t="s">
        <v>12</v>
      </c>
      <c r="H22" s="29">
        <v>616.56000000000006</v>
      </c>
      <c r="I22" s="29">
        <v>1127</v>
      </c>
      <c r="J22" s="29">
        <v>999.6</v>
      </c>
      <c r="K22" s="84">
        <f t="shared" si="0"/>
        <v>2743.16</v>
      </c>
    </row>
    <row r="23" spans="1:11" ht="15">
      <c r="A23" s="1"/>
      <c r="B23" s="1"/>
      <c r="C23" s="1"/>
      <c r="D23" s="1"/>
      <c r="E23" s="1"/>
      <c r="F23" s="1"/>
      <c r="G23" s="19" t="s">
        <v>34</v>
      </c>
      <c r="H23" s="31">
        <v>35132.12676900356</v>
      </c>
      <c r="I23" s="31">
        <v>63344.626826041072</v>
      </c>
      <c r="J23" s="31">
        <v>65392.439525409616</v>
      </c>
      <c r="K23" s="86">
        <f t="shared" si="0"/>
        <v>163869.19312045426</v>
      </c>
    </row>
    <row r="24" spans="1:11" ht="15">
      <c r="A24" s="1"/>
      <c r="B24" s="1"/>
      <c r="C24" s="1"/>
      <c r="D24" s="1"/>
      <c r="E24" s="1"/>
      <c r="F24" s="1"/>
      <c r="G24" s="4" t="s">
        <v>35</v>
      </c>
      <c r="H24" s="32">
        <v>0.11396174506618516</v>
      </c>
      <c r="I24" s="32">
        <v>0.11241282489093359</v>
      </c>
      <c r="J24" s="32">
        <v>0.1308372139363938</v>
      </c>
      <c r="K24" s="87">
        <f>K23/K5</f>
        <v>0.11947476131210302</v>
      </c>
    </row>
    <row r="25" spans="1:11" ht="15">
      <c r="A25" s="1"/>
      <c r="B25" s="1"/>
      <c r="C25" s="1"/>
      <c r="D25" s="1"/>
      <c r="E25" s="1"/>
      <c r="F25" s="1"/>
      <c r="G25" s="4" t="s">
        <v>190</v>
      </c>
      <c r="H25" s="92">
        <v>27290.946674379782</v>
      </c>
      <c r="I25" s="91">
        <v>60723.145958022724</v>
      </c>
      <c r="J25" s="16">
        <v>61056.219241101717</v>
      </c>
      <c r="K25" s="87">
        <f>SUM(H25:J25)</f>
        <v>149070.31187350422</v>
      </c>
    </row>
    <row r="26" spans="1:11" ht="15">
      <c r="A26" s="1"/>
      <c r="B26" s="1"/>
      <c r="C26" s="1"/>
      <c r="D26" s="1"/>
      <c r="E26" s="1"/>
      <c r="F26" s="1"/>
      <c r="G26" s="19" t="s">
        <v>21</v>
      </c>
      <c r="H26" s="31">
        <v>-7841.1800946237781</v>
      </c>
      <c r="I26" s="31">
        <v>-2621.4808680183487</v>
      </c>
      <c r="J26" s="31">
        <v>-4336.2202843078994</v>
      </c>
      <c r="K26" s="88">
        <f>SUM(H26:J26)</f>
        <v>-14798.881246950026</v>
      </c>
    </row>
    <row r="27" spans="1:11" ht="15">
      <c r="A27" s="1"/>
      <c r="B27" s="1"/>
      <c r="C27" s="1"/>
      <c r="D27" s="1"/>
      <c r="E27" s="1"/>
      <c r="F27" s="1"/>
      <c r="G27" s="4" t="s">
        <v>25</v>
      </c>
      <c r="H27" s="83">
        <v>-0.28731799553091092</v>
      </c>
      <c r="I27" s="83">
        <v>-4.3171031847239125E-2</v>
      </c>
      <c r="J27" s="83">
        <v>-7.1020124373977783E-2</v>
      </c>
      <c r="K27" s="89">
        <f>K26/K25</f>
        <v>-9.9274503829493779E-2</v>
      </c>
    </row>
    <row r="28" spans="1:11" ht="15">
      <c r="K28" s="86"/>
    </row>
    <row r="29" spans="1:11" ht="15">
      <c r="G29" s="4" t="s">
        <v>192</v>
      </c>
      <c r="H29" s="93">
        <f>H26*91</f>
        <v>-713547.38861076382</v>
      </c>
      <c r="I29" s="93">
        <f>I26*91</f>
        <v>-238554.75898966973</v>
      </c>
      <c r="J29" s="93">
        <f>J26*91</f>
        <v>-394596.04587201885</v>
      </c>
      <c r="K29" s="94">
        <f>SUM(H29:J29)</f>
        <v>-1346698.1934724525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Optimization</vt:lpstr>
      <vt:lpstr>ATL-DAL</vt:lpstr>
      <vt:lpstr>DAL-CHI</vt:lpstr>
      <vt:lpstr>CHI-ATL</vt:lpstr>
      <vt:lpstr>Total</vt:lpstr>
    </vt:vector>
  </TitlesOfParts>
  <Company>Concordia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pbelobaba</dc:creator>
  <cp:lastModifiedBy>Michael Plasmeier</cp:lastModifiedBy>
  <cp:lastPrinted>2010-11-19T16:46:45Z</cp:lastPrinted>
  <dcterms:created xsi:type="dcterms:W3CDTF">2006-10-05T21:06:37Z</dcterms:created>
  <dcterms:modified xsi:type="dcterms:W3CDTF">2010-12-10T16:46:38Z</dcterms:modified>
</cp:coreProperties>
</file>